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firstSheet="2" activeTab="2"/>
  </bookViews>
  <sheets>
    <sheet name="Sheet1" sheetId="1" state="hidden" r:id="rId1"/>
    <sheet name="Sheet2" sheetId="2" state="hidden" r:id="rId2"/>
    <sheet name="Sheet1 (2)" sheetId="3" r:id="rId3"/>
  </sheets>
  <definedNames>
    <definedName name="_xlnm.Print_Area" localSheetId="0">Sheet1!$A$1:$L$46</definedName>
    <definedName name="_xlnm.Print_Area" localSheetId="2">'Sheet1 (2)'!$A$1:$L$47</definedName>
  </definedNames>
  <calcPr calcId="144525"/>
</workbook>
</file>

<file path=xl/sharedStrings.xml><?xml version="1.0" encoding="utf-8"?>
<sst xmlns="http://schemas.openxmlformats.org/spreadsheetml/2006/main" count="276" uniqueCount="177">
  <si>
    <t>银川市金凤区元宝湖水环境综合治理项目投资概算表</t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</si>
  <si>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</si>
  <si>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工程或费用名称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</si>
  <si>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概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算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金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额（万元）</t>
    </r>
  </si>
  <si>
    <r>
      <rPr>
        <sz val="12"/>
        <rFont val="宋体"/>
        <charset val="134"/>
      </rPr>
      <t>技术经济指标（元）</t>
    </r>
  </si>
  <si>
    <r>
      <rPr>
        <sz val="12"/>
        <rFont val="宋体"/>
        <charset val="134"/>
      </rPr>
      <t>占总投资比例</t>
    </r>
  </si>
  <si>
    <r>
      <rPr>
        <sz val="12"/>
        <rFont val="宋体"/>
        <charset val="134"/>
      </rPr>
      <t>备注</t>
    </r>
  </si>
  <si>
    <r>
      <rPr>
        <sz val="12"/>
        <rFont val="宋体"/>
        <charset val="134"/>
      </rPr>
      <t>建筑工程费</t>
    </r>
  </si>
  <si>
    <r>
      <rPr>
        <sz val="12"/>
        <rFont val="宋体"/>
        <charset val="134"/>
      </rPr>
      <t>安装工程费</t>
    </r>
  </si>
  <si>
    <r>
      <rPr>
        <sz val="12"/>
        <rFont val="宋体"/>
        <charset val="134"/>
      </rPr>
      <t>设备购置费</t>
    </r>
  </si>
  <si>
    <r>
      <rPr>
        <sz val="12"/>
        <rFont val="宋体"/>
        <charset val="134"/>
      </rPr>
      <t>其它费用</t>
    </r>
  </si>
  <si>
    <r>
      <rPr>
        <sz val="12"/>
        <rFont val="宋体"/>
        <charset val="134"/>
      </rPr>
      <t>合计</t>
    </r>
  </si>
  <si>
    <r>
      <rPr>
        <sz val="12"/>
        <rFont val="宋体"/>
        <charset val="134"/>
      </rPr>
      <t>单位</t>
    </r>
  </si>
  <si>
    <r>
      <rPr>
        <sz val="12"/>
        <rFont val="宋体"/>
        <charset val="134"/>
      </rPr>
      <t>数量</t>
    </r>
  </si>
  <si>
    <r>
      <rPr>
        <sz val="12"/>
        <rFont val="宋体"/>
        <charset val="134"/>
      </rPr>
      <t>指标</t>
    </r>
  </si>
  <si>
    <r>
      <rPr>
        <sz val="12"/>
        <rFont val="宋体"/>
        <charset val="134"/>
      </rPr>
      <t>一</t>
    </r>
  </si>
  <si>
    <r>
      <rPr>
        <sz val="12"/>
        <rFont val="宋体"/>
        <charset val="134"/>
      </rPr>
      <t>工程费用</t>
    </r>
  </si>
  <si>
    <r>
      <rPr>
        <sz val="12"/>
        <rFont val="宋体"/>
        <charset val="134"/>
      </rPr>
      <t>（一）</t>
    </r>
  </si>
  <si>
    <r>
      <rPr>
        <sz val="12"/>
        <rFont val="宋体"/>
        <charset val="134"/>
      </rPr>
      <t>内源污染控制工程</t>
    </r>
  </si>
  <si>
    <r>
      <rPr>
        <sz val="12"/>
        <rFont val="宋体"/>
        <charset val="134"/>
      </rPr>
      <t>生态环保清淤</t>
    </r>
  </si>
  <si>
    <t>m³</t>
  </si>
  <si>
    <r>
      <rPr>
        <sz val="12"/>
        <rFont val="Times New Roman"/>
        <charset val="134"/>
      </rPr>
      <t>(</t>
    </r>
    <r>
      <rPr>
        <sz val="12"/>
        <rFont val="宋体"/>
        <charset val="134"/>
      </rPr>
      <t>二）</t>
    </r>
  </si>
  <si>
    <r>
      <rPr>
        <sz val="12"/>
        <rFont val="宋体"/>
        <charset val="134"/>
      </rPr>
      <t>水质提升与生态修复工程</t>
    </r>
  </si>
  <si>
    <r>
      <rPr>
        <sz val="12"/>
        <rFont val="宋体"/>
        <charset val="134"/>
      </rPr>
      <t>原有水生动物清理</t>
    </r>
  </si>
  <si>
    <t>kg</t>
  </si>
  <si>
    <r>
      <rPr>
        <sz val="12"/>
        <rFont val="宋体"/>
        <charset val="134"/>
      </rPr>
      <t>现状岸坡野生植被清理</t>
    </r>
  </si>
  <si>
    <t>㎡</t>
  </si>
  <si>
    <r>
      <rPr>
        <sz val="12"/>
        <rFont val="宋体"/>
        <charset val="134"/>
      </rPr>
      <t>水生植物修复工程</t>
    </r>
  </si>
  <si>
    <r>
      <rPr>
        <sz val="11"/>
        <rFont val="宋体"/>
        <charset val="134"/>
      </rPr>
      <t>包括生态浮岛、沉水植物、仿生人工水草和水生动物</t>
    </r>
  </si>
  <si>
    <t>水质提升设备</t>
  </si>
  <si>
    <t>套</t>
  </si>
  <si>
    <r>
      <rPr>
        <sz val="12"/>
        <rFont val="宋体"/>
        <charset val="134"/>
      </rPr>
      <t>（三）</t>
    </r>
  </si>
  <si>
    <r>
      <rPr>
        <sz val="12"/>
        <rFont val="宋体"/>
        <charset val="134"/>
      </rPr>
      <t>生态护岸工程</t>
    </r>
  </si>
  <si>
    <r>
      <rPr>
        <sz val="12"/>
        <rFont val="宋体"/>
        <charset val="134"/>
      </rPr>
      <t>元宝湖东侧护岸</t>
    </r>
  </si>
  <si>
    <t>含钢板桩支护及排降水措施</t>
  </si>
  <si>
    <r>
      <rPr>
        <sz val="12"/>
        <rFont val="宋体"/>
        <charset val="134"/>
      </rPr>
      <t>沉沙区改造</t>
    </r>
  </si>
  <si>
    <r>
      <rPr>
        <sz val="12"/>
        <rFont val="宋体"/>
        <charset val="134"/>
      </rPr>
      <t>新建沉沙区</t>
    </r>
  </si>
  <si>
    <r>
      <rPr>
        <sz val="12"/>
        <rFont val="宋体"/>
        <charset val="134"/>
      </rPr>
      <t>（四）</t>
    </r>
  </si>
  <si>
    <r>
      <rPr>
        <sz val="12"/>
        <rFont val="宋体"/>
        <charset val="134"/>
      </rPr>
      <t>生态隔离带构建工程</t>
    </r>
  </si>
  <si>
    <r>
      <rPr>
        <sz val="12"/>
        <rFont val="宋体"/>
        <charset val="134"/>
      </rPr>
      <t>苗木工程</t>
    </r>
  </si>
  <si>
    <r>
      <rPr>
        <sz val="11"/>
        <rFont val="宋体"/>
        <charset val="134"/>
      </rPr>
      <t>灌溉工程</t>
    </r>
  </si>
  <si>
    <r>
      <rPr>
        <sz val="11"/>
        <rFont val="宋体"/>
        <charset val="134"/>
      </rPr>
      <t>生态步道工程</t>
    </r>
  </si>
  <si>
    <t>含土围堰及排降水措施</t>
  </si>
  <si>
    <t>现状道路改造工程</t>
  </si>
  <si>
    <t>警示牌</t>
  </si>
  <si>
    <r>
      <rPr>
        <sz val="12"/>
        <rFont val="宋体"/>
        <charset val="134"/>
      </rPr>
      <t>套</t>
    </r>
  </si>
  <si>
    <t>围栏网</t>
  </si>
  <si>
    <t>m</t>
  </si>
  <si>
    <t>亲水平台工程</t>
  </si>
  <si>
    <r>
      <rPr>
        <sz val="12"/>
        <rFont val="宋体"/>
        <charset val="134"/>
      </rPr>
      <t>（五）</t>
    </r>
  </si>
  <si>
    <r>
      <rPr>
        <sz val="11"/>
        <rFont val="宋体"/>
        <charset val="134"/>
      </rPr>
      <t>电气工程</t>
    </r>
  </si>
  <si>
    <r>
      <rPr>
        <sz val="12"/>
        <rFont val="宋体"/>
        <charset val="134"/>
      </rPr>
      <t>二</t>
    </r>
  </si>
  <si>
    <r>
      <rPr>
        <sz val="12"/>
        <rFont val="宋体"/>
        <charset val="134"/>
      </rPr>
      <t>工程建设其它费用</t>
    </r>
  </si>
  <si>
    <t>估算</t>
  </si>
  <si>
    <r>
      <rPr>
        <sz val="12"/>
        <rFont val="宋体"/>
        <charset val="134"/>
      </rPr>
      <t>建设单位管理费</t>
    </r>
  </si>
  <si>
    <r>
      <rPr>
        <sz val="11"/>
        <rFont val="宋体"/>
        <charset val="134"/>
      </rPr>
      <t>财建</t>
    </r>
    <r>
      <rPr>
        <sz val="11"/>
        <rFont val="Times New Roman"/>
        <charset val="134"/>
      </rPr>
      <t>[2016]504</t>
    </r>
    <r>
      <rPr>
        <sz val="11"/>
        <rFont val="宋体"/>
        <charset val="134"/>
      </rPr>
      <t>号</t>
    </r>
  </si>
  <si>
    <r>
      <rPr>
        <sz val="12"/>
        <rFont val="宋体"/>
        <charset val="134"/>
      </rPr>
      <t>工程监理费</t>
    </r>
  </si>
  <si>
    <t>金管办发【2019】1号</t>
  </si>
  <si>
    <r>
      <rPr>
        <sz val="11"/>
        <rFont val="宋体"/>
        <charset val="134"/>
      </rPr>
      <t>发改价格</t>
    </r>
    <r>
      <rPr>
        <sz val="11"/>
        <rFont val="Times New Roman"/>
        <charset val="134"/>
      </rPr>
      <t>[2007]670</t>
    </r>
    <r>
      <rPr>
        <sz val="11"/>
        <rFont val="宋体"/>
        <charset val="134"/>
      </rPr>
      <t>号</t>
    </r>
  </si>
  <si>
    <r>
      <rPr>
        <sz val="12"/>
        <rFont val="宋体"/>
        <charset val="134"/>
      </rPr>
      <t>施工图审查费</t>
    </r>
  </si>
  <si>
    <r>
      <rPr>
        <sz val="11"/>
        <rFont val="宋体"/>
        <charset val="134"/>
      </rPr>
      <t>宁价费发</t>
    </r>
    <r>
      <rPr>
        <sz val="11"/>
        <rFont val="Times New Roman"/>
        <charset val="134"/>
      </rPr>
      <t>[2001]71</t>
    </r>
    <r>
      <rPr>
        <sz val="11"/>
        <rFont val="宋体"/>
        <charset val="134"/>
      </rPr>
      <t>号</t>
    </r>
  </si>
  <si>
    <r>
      <rPr>
        <sz val="12"/>
        <rFont val="宋体"/>
        <charset val="134"/>
      </rPr>
      <t>编制清单及招标控制价</t>
    </r>
  </si>
  <si>
    <r>
      <rPr>
        <sz val="11"/>
        <rFont val="宋体"/>
        <charset val="134"/>
      </rPr>
      <t>宁价费发</t>
    </r>
    <r>
      <rPr>
        <sz val="11"/>
        <rFont val="Times New Roman"/>
        <charset val="134"/>
      </rPr>
      <t xml:space="preserve">[2010]87 </t>
    </r>
    <r>
      <rPr>
        <sz val="11"/>
        <rFont val="宋体"/>
        <charset val="134"/>
      </rPr>
      <t>号</t>
    </r>
  </si>
  <si>
    <t>编制竣工结算</t>
  </si>
  <si>
    <r>
      <rPr>
        <sz val="11"/>
        <color rgb="FFFF0000"/>
        <rFont val="宋体"/>
        <charset val="134"/>
      </rPr>
      <t>宁价费发</t>
    </r>
    <r>
      <rPr>
        <sz val="11"/>
        <color rgb="FFFF0000"/>
        <rFont val="Times New Roman"/>
        <charset val="134"/>
      </rPr>
      <t xml:space="preserve">[2010]87 </t>
    </r>
    <r>
      <rPr>
        <sz val="11"/>
        <color rgb="FFFF0000"/>
        <rFont val="宋体"/>
        <charset val="134"/>
      </rPr>
      <t>号</t>
    </r>
  </si>
  <si>
    <r>
      <rPr>
        <sz val="12"/>
        <rFont val="宋体"/>
        <charset val="134"/>
      </rPr>
      <t>审核竣工决算</t>
    </r>
  </si>
  <si>
    <r>
      <rPr>
        <sz val="12"/>
        <rFont val="宋体"/>
        <charset val="134"/>
      </rPr>
      <t>招标服务费</t>
    </r>
  </si>
  <si>
    <r>
      <rPr>
        <sz val="11"/>
        <rFont val="宋体"/>
        <charset val="134"/>
      </rPr>
      <t>计价格</t>
    </r>
    <r>
      <rPr>
        <sz val="11"/>
        <rFont val="Times New Roman"/>
        <charset val="134"/>
      </rPr>
      <t>[2002]1980</t>
    </r>
    <r>
      <rPr>
        <sz val="11"/>
        <rFont val="宋体"/>
        <charset val="134"/>
      </rPr>
      <t>号；发改价格</t>
    </r>
    <r>
      <rPr>
        <sz val="11"/>
        <rFont val="Times New Roman"/>
        <charset val="134"/>
      </rPr>
      <t>[2011]534</t>
    </r>
    <r>
      <rPr>
        <sz val="11"/>
        <rFont val="宋体"/>
        <charset val="134"/>
      </rPr>
      <t>号</t>
    </r>
  </si>
  <si>
    <r>
      <rPr>
        <sz val="12"/>
        <color rgb="FFFF0000"/>
        <rFont val="宋体"/>
        <charset val="134"/>
      </rPr>
      <t>设计费</t>
    </r>
  </si>
  <si>
    <t>根据合同金额</t>
  </si>
  <si>
    <r>
      <rPr>
        <sz val="12"/>
        <color rgb="FFFF0000"/>
        <rFont val="宋体"/>
        <charset val="134"/>
      </rPr>
      <t>工程勘察费</t>
    </r>
  </si>
  <si>
    <t>0.8-1.1</t>
  </si>
  <si>
    <r>
      <rPr>
        <sz val="11"/>
        <color rgb="FFFF0000"/>
        <rFont val="宋体"/>
        <charset val="134"/>
      </rPr>
      <t>计价格</t>
    </r>
    <r>
      <rPr>
        <sz val="11"/>
        <color rgb="FFFF0000"/>
        <rFont val="Times New Roman"/>
        <charset val="134"/>
      </rPr>
      <t>[2002]10</t>
    </r>
    <r>
      <rPr>
        <sz val="11"/>
        <color rgb="FFFF0000"/>
        <rFont val="宋体"/>
        <charset val="134"/>
      </rPr>
      <t>号</t>
    </r>
  </si>
  <si>
    <r>
      <rPr>
        <sz val="11"/>
        <rFont val="宋体"/>
        <charset val="134"/>
      </rPr>
      <t>计价格</t>
    </r>
    <r>
      <rPr>
        <sz val="11"/>
        <rFont val="Times New Roman"/>
        <charset val="134"/>
      </rPr>
      <t>[2002]10</t>
    </r>
    <r>
      <rPr>
        <sz val="11"/>
        <rFont val="宋体"/>
        <charset val="134"/>
      </rPr>
      <t>号</t>
    </r>
  </si>
  <si>
    <r>
      <rPr>
        <sz val="12"/>
        <rFont val="宋体"/>
        <charset val="134"/>
      </rPr>
      <t>工程测量费</t>
    </r>
  </si>
  <si>
    <t>参考估算</t>
  </si>
  <si>
    <r>
      <rPr>
        <sz val="12"/>
        <rFont val="宋体"/>
        <charset val="134"/>
      </rPr>
      <t>场地准备及临时设施费</t>
    </r>
  </si>
  <si>
    <t>0.5-2</t>
  </si>
  <si>
    <r>
      <rPr>
        <sz val="11"/>
        <rFont val="宋体"/>
        <charset val="134"/>
      </rPr>
      <t>建标〔</t>
    </r>
    <r>
      <rPr>
        <sz val="11"/>
        <rFont val="Times New Roman"/>
        <charset val="134"/>
      </rPr>
      <t>2011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 xml:space="preserve">1 </t>
    </r>
    <r>
      <rPr>
        <sz val="11"/>
        <rFont val="宋体"/>
        <charset val="134"/>
      </rPr>
      <t>号</t>
    </r>
  </si>
  <si>
    <r>
      <rPr>
        <sz val="12"/>
        <rFont val="宋体"/>
        <charset val="134"/>
      </rPr>
      <t>市政公用设施配套费</t>
    </r>
  </si>
  <si>
    <r>
      <rPr>
        <sz val="11"/>
        <rFont val="宋体"/>
        <charset val="134"/>
      </rPr>
      <t>电源外线等费用，暂估</t>
    </r>
  </si>
  <si>
    <r>
      <rPr>
        <sz val="12"/>
        <rFont val="宋体"/>
        <charset val="134"/>
      </rPr>
      <t>补水水费</t>
    </r>
  </si>
  <si>
    <r>
      <rPr>
        <sz val="11"/>
        <rFont val="Times New Roman"/>
        <charset val="134"/>
      </rPr>
      <t>200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>m³/</t>
    </r>
    <r>
      <rPr>
        <sz val="11"/>
        <rFont val="宋体"/>
        <charset val="134"/>
      </rPr>
      <t>年</t>
    </r>
  </si>
  <si>
    <r>
      <rPr>
        <sz val="12"/>
        <rFont val="宋体"/>
        <charset val="134"/>
      </rPr>
      <t>环境影响评价</t>
    </r>
  </si>
  <si>
    <r>
      <rPr>
        <sz val="11"/>
        <rFont val="宋体"/>
        <charset val="134"/>
      </rPr>
      <t>计价格</t>
    </r>
    <r>
      <rPr>
        <sz val="11"/>
        <rFont val="Times New Roman"/>
        <charset val="134"/>
      </rPr>
      <t>[2002]125</t>
    </r>
    <r>
      <rPr>
        <sz val="11"/>
        <rFont val="宋体"/>
        <charset val="134"/>
      </rPr>
      <t>号：编制和评估环境影响报告书（含大纲）</t>
    </r>
  </si>
  <si>
    <r>
      <rPr>
        <sz val="12"/>
        <rFont val="宋体"/>
        <charset val="134"/>
      </rPr>
      <t>竣工环境保护验收</t>
    </r>
  </si>
  <si>
    <r>
      <rPr>
        <sz val="12"/>
        <rFont val="宋体"/>
        <charset val="134"/>
      </rPr>
      <t>后评价及跟踪监测</t>
    </r>
  </si>
  <si>
    <r>
      <rPr>
        <sz val="12"/>
        <rFont val="宋体"/>
        <charset val="134"/>
      </rPr>
      <t>水土保持方案编制费</t>
    </r>
  </si>
  <si>
    <r>
      <rPr>
        <sz val="11"/>
        <rFont val="宋体"/>
        <charset val="134"/>
      </rPr>
      <t>保监〔</t>
    </r>
    <r>
      <rPr>
        <sz val="11"/>
        <rFont val="Times New Roman"/>
        <charset val="134"/>
      </rPr>
      <t>2005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</si>
  <si>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t>专家咨询费</t>
  </si>
  <si>
    <r>
      <rPr>
        <sz val="12"/>
        <rFont val="宋体"/>
        <charset val="134"/>
      </rPr>
      <t>质量检测试验费</t>
    </r>
  </si>
  <si>
    <r>
      <rPr>
        <sz val="12"/>
        <rFont val="宋体"/>
        <charset val="134"/>
      </rPr>
      <t>三</t>
    </r>
  </si>
  <si>
    <r>
      <rPr>
        <sz val="12"/>
        <rFont val="宋体"/>
        <charset val="134"/>
      </rPr>
      <t>预备费</t>
    </r>
  </si>
  <si>
    <r>
      <rPr>
        <sz val="11"/>
        <rFont val="宋体"/>
        <charset val="134"/>
      </rPr>
      <t>（一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二）</t>
    </r>
    <r>
      <rPr>
        <sz val="11"/>
        <rFont val="Times New Roman"/>
        <charset val="134"/>
      </rPr>
      <t>×5%</t>
    </r>
  </si>
  <si>
    <r>
      <rPr>
        <sz val="12"/>
        <rFont val="宋体"/>
        <charset val="134"/>
      </rPr>
      <t>四</t>
    </r>
  </si>
  <si>
    <r>
      <rPr>
        <sz val="12"/>
        <rFont val="宋体"/>
        <charset val="134"/>
      </rPr>
      <t>项目总投资</t>
    </r>
  </si>
  <si>
    <t>名称</t>
  </si>
  <si>
    <t>工程类别</t>
  </si>
  <si>
    <t>金额</t>
  </si>
  <si>
    <t>内源污染控制工程——清淤</t>
  </si>
  <si>
    <t>二类工程</t>
  </si>
  <si>
    <t>水质提升与生态修复工程——原有水生动物清理</t>
  </si>
  <si>
    <t>水质提升与生态修复工程——清理野生植被</t>
  </si>
  <si>
    <t>水质提升与生态修复工程——水生植物修复工程</t>
  </si>
  <si>
    <t>水质提升与生态修复工程——太阳能水循环复氧控藻设备</t>
  </si>
  <si>
    <t>生态护岸工程——元宝湖东侧护岸</t>
  </si>
  <si>
    <t>生态护岸工程——沉沙区改造</t>
  </si>
  <si>
    <t>生态护岸工程——新建沉沙区</t>
  </si>
  <si>
    <t>生态隔离带构建工程——苗木工程</t>
  </si>
  <si>
    <t>生态隔离带构建工程——灌溉工程</t>
  </si>
  <si>
    <t>生态隔离带构建工程——生态步道工程</t>
  </si>
  <si>
    <t>生态隔离带构建工程——现状道路改造工程</t>
  </si>
  <si>
    <t>生态隔离带构建工程——警示牌</t>
  </si>
  <si>
    <t>生态隔离带构建工程——围栏网</t>
  </si>
  <si>
    <t>生态隔离带构建工程——亲水平台工程</t>
  </si>
  <si>
    <t>电气工程</t>
  </si>
  <si>
    <t>综 合 概 算 表</t>
  </si>
  <si>
    <t>项目名称：银川市金凤区元宝湖水环境综合治理项目</t>
  </si>
  <si>
    <t>序号</t>
  </si>
  <si>
    <t>工程或费用名称</t>
  </si>
  <si>
    <t>技术经济指标（元）</t>
  </si>
  <si>
    <t>占总投资比例</t>
  </si>
  <si>
    <t>备注</t>
  </si>
  <si>
    <t>建筑工程费</t>
  </si>
  <si>
    <t>安装工程费</t>
  </si>
  <si>
    <t>设备购置费</t>
  </si>
  <si>
    <t>其它费用</t>
  </si>
  <si>
    <t>合计</t>
  </si>
  <si>
    <t>单位</t>
  </si>
  <si>
    <t>数量</t>
  </si>
  <si>
    <t>指标</t>
  </si>
  <si>
    <t>一</t>
  </si>
  <si>
    <t>工程费用</t>
  </si>
  <si>
    <t>（一）</t>
  </si>
  <si>
    <t>内源污染控制工程</t>
  </si>
  <si>
    <t>生态环保清淤</t>
  </si>
  <si>
    <t>（二）</t>
  </si>
  <si>
    <t>水质提升与生态修复工程</t>
  </si>
  <si>
    <t>原有水生动物清理</t>
  </si>
  <si>
    <t>现状岸坡野生植被清理</t>
  </si>
  <si>
    <t>水生植物修复工程</t>
  </si>
  <si>
    <t>包括生态浮岛、沉水植物、仿生人工水草和水生动物</t>
  </si>
  <si>
    <t>（三）</t>
  </si>
  <si>
    <t>生态护岸工程</t>
  </si>
  <si>
    <t>元宝湖东侧护岸</t>
  </si>
  <si>
    <t>沉沙区改造</t>
  </si>
  <si>
    <t>新建沉沙区</t>
  </si>
  <si>
    <t>（四）</t>
  </si>
  <si>
    <t>生态隔离带构建工程</t>
  </si>
  <si>
    <t>苗木工程</t>
  </si>
  <si>
    <t>灌溉工程</t>
  </si>
  <si>
    <t>生态步道工程</t>
  </si>
  <si>
    <t>（五）</t>
  </si>
  <si>
    <t>二</t>
  </si>
  <si>
    <t>工程建设其它费用</t>
  </si>
  <si>
    <t>建设单位管理费</t>
  </si>
  <si>
    <t>工程监理费</t>
  </si>
  <si>
    <t>施工图审查费</t>
  </si>
  <si>
    <t>编制清单及招标控制价</t>
  </si>
  <si>
    <t>审核竣工决算</t>
  </si>
  <si>
    <t>招标服务费</t>
  </si>
  <si>
    <t>设计费</t>
  </si>
  <si>
    <t>工程勘察费</t>
  </si>
  <si>
    <t>工程测量费</t>
  </si>
  <si>
    <t>场地准备及临时设施费</t>
  </si>
  <si>
    <t>市政公用设施配套费</t>
  </si>
  <si>
    <t>电源外线等费用，暂估</t>
  </si>
  <si>
    <t>补水水费</t>
  </si>
  <si>
    <t>环境影响评价</t>
  </si>
  <si>
    <t>竣工环境保护验收</t>
  </si>
  <si>
    <t>后评价及跟踪监测</t>
  </si>
  <si>
    <t>水土保持方案编制费</t>
  </si>
  <si>
    <t>质量检测试验费</t>
  </si>
  <si>
    <t>三</t>
  </si>
  <si>
    <t>预备费</t>
  </si>
  <si>
    <t>四</t>
  </si>
  <si>
    <t>项目总投资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</si>
</sst>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2"/>
      <color rgb="FFFF0000"/>
      <name val="Times New Roman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4" fillId="9" borderId="5" applyNumberFormat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0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10" fontId="5" fillId="0" borderId="1" xfId="52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0" fontId="6" fillId="0" borderId="1" xfId="52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10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2" fillId="3" borderId="0" xfId="0" applyFont="1" applyFill="1">
      <alignment vertical="center"/>
    </xf>
    <xf numFmtId="10" fontId="6" fillId="0" borderId="1" xfId="0" applyNumberFormat="1" applyFont="1" applyFill="1" applyBorder="1" applyAlignment="1" applyProtection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>
      <alignment vertical="center"/>
    </xf>
    <xf numFmtId="177" fontId="8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9" fillId="0" borderId="0" xfId="0" applyFont="1">
      <alignment vertical="center"/>
    </xf>
    <xf numFmtId="0" fontId="0" fillId="0" borderId="0" xfId="0" applyFill="1">
      <alignment vertical="center"/>
    </xf>
    <xf numFmtId="0" fontId="9" fillId="0" borderId="0" xfId="0" applyFont="1" applyFill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6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6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77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0" fillId="3" borderId="0" xfId="0" applyFill="1">
      <alignment vertical="center"/>
    </xf>
    <xf numFmtId="0" fontId="7" fillId="5" borderId="1" xfId="0" applyFont="1" applyFill="1" applyBorder="1">
      <alignment vertical="center"/>
    </xf>
    <xf numFmtId="0" fontId="0" fillId="4" borderId="0" xfId="0" applyFill="1">
      <alignment vertical="center"/>
    </xf>
    <xf numFmtId="0" fontId="12" fillId="0" borderId="1" xfId="0" applyFont="1" applyFill="1" applyBorder="1">
      <alignment vertical="center"/>
    </xf>
    <xf numFmtId="1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2" xfId="50"/>
    <cellStyle name="常规 6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showZeros="0" view="pageBreakPreview" zoomScaleNormal="100" workbookViewId="0">
      <selection activeCell="G47" sqref="G47"/>
    </sheetView>
  </sheetViews>
  <sheetFormatPr defaultColWidth="9" defaultRowHeight="13.5"/>
  <cols>
    <col min="1" max="1" width="9.38333333333333" customWidth="1"/>
    <col min="2" max="2" width="28.3833333333333" customWidth="1"/>
    <col min="3" max="3" width="12.25" style="54" customWidth="1"/>
    <col min="4" max="5" width="11.1333333333333" style="54" customWidth="1"/>
    <col min="6" max="6" width="10.1333333333333" style="54" customWidth="1"/>
    <col min="7" max="7" width="13.5" style="54" customWidth="1"/>
    <col min="9" max="9" width="9.25" style="55" customWidth="1"/>
    <col min="10" max="10" width="10.25" style="55" customWidth="1"/>
    <col min="11" max="11" width="10.1333333333333" style="56" customWidth="1"/>
    <col min="12" max="12" width="22.5" customWidth="1"/>
    <col min="17" max="17" width="32.6333333333333" customWidth="1"/>
  </cols>
  <sheetData>
    <row r="1" ht="18.95" customHeight="1" spans="1:1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63"/>
      <c r="L1" s="57"/>
    </row>
    <row r="2" ht="16.5" customHeight="1" spans="1:12">
      <c r="A2" s="12" t="s">
        <v>1</v>
      </c>
      <c r="B2" s="12" t="s">
        <v>2</v>
      </c>
      <c r="C2" s="11" t="s">
        <v>3</v>
      </c>
      <c r="D2" s="11"/>
      <c r="E2" s="11"/>
      <c r="F2" s="11"/>
      <c r="G2" s="11"/>
      <c r="H2" s="12" t="s">
        <v>4</v>
      </c>
      <c r="I2" s="12"/>
      <c r="J2" s="27"/>
      <c r="K2" s="31" t="s">
        <v>5</v>
      </c>
      <c r="L2" s="32" t="s">
        <v>6</v>
      </c>
    </row>
    <row r="3" ht="14.25" spans="1:12">
      <c r="A3" s="12"/>
      <c r="B3" s="12"/>
      <c r="C3" s="11" t="s">
        <v>7</v>
      </c>
      <c r="D3" s="11" t="s">
        <v>8</v>
      </c>
      <c r="E3" s="11" t="s">
        <v>9</v>
      </c>
      <c r="F3" s="11" t="s">
        <v>10</v>
      </c>
      <c r="G3" s="16" t="s">
        <v>11</v>
      </c>
      <c r="H3" s="12" t="s">
        <v>12</v>
      </c>
      <c r="I3" s="27" t="s">
        <v>13</v>
      </c>
      <c r="J3" s="27" t="s">
        <v>14</v>
      </c>
      <c r="K3" s="31"/>
      <c r="L3" s="32"/>
    </row>
    <row r="4" s="51" customFormat="1" ht="15.75" spans="1:12">
      <c r="A4" s="12" t="s">
        <v>15</v>
      </c>
      <c r="B4" s="12" t="s">
        <v>16</v>
      </c>
      <c r="C4" s="11">
        <f>C5+C7+C12+C16+C24</f>
        <v>4240.86</v>
      </c>
      <c r="D4" s="11">
        <f>D5+D7+D12+D16+D24</f>
        <v>287.4884</v>
      </c>
      <c r="E4" s="11">
        <f>E5+E7+E12+E16+E24</f>
        <v>659.3</v>
      </c>
      <c r="F4" s="11">
        <f>F5+F7+F12+F16+F24</f>
        <v>0</v>
      </c>
      <c r="G4" s="11">
        <f>G5+G7+G12+G16+G24</f>
        <v>5187.6484</v>
      </c>
      <c r="H4" s="12"/>
      <c r="I4" s="27"/>
      <c r="J4" s="27"/>
      <c r="K4" s="33">
        <f>G4/G46</f>
        <v>0.845093670679537</v>
      </c>
      <c r="L4" s="34"/>
    </row>
    <row r="5" ht="15.75" spans="1:12">
      <c r="A5" s="12" t="s">
        <v>17</v>
      </c>
      <c r="B5" s="12" t="s">
        <v>18</v>
      </c>
      <c r="C5" s="11">
        <f>ROUND(C6,2)</f>
        <v>1104.57</v>
      </c>
      <c r="D5" s="11">
        <f t="shared" ref="D5:F5" si="0">ROUND(D6,2)</f>
        <v>0</v>
      </c>
      <c r="E5" s="11">
        <f t="shared" si="0"/>
        <v>0</v>
      </c>
      <c r="F5" s="11">
        <f t="shared" si="0"/>
        <v>0</v>
      </c>
      <c r="G5" s="11">
        <f>SUM(C5:F5)</f>
        <v>1104.57</v>
      </c>
      <c r="H5" s="12"/>
      <c r="I5" s="27"/>
      <c r="J5" s="27"/>
      <c r="K5" s="33"/>
      <c r="L5" s="34"/>
    </row>
    <row r="6" ht="15.75" spans="1:12">
      <c r="A6" s="12">
        <v>1</v>
      </c>
      <c r="B6" s="12" t="s">
        <v>19</v>
      </c>
      <c r="C6" s="11">
        <v>1104.5729</v>
      </c>
      <c r="D6" s="11"/>
      <c r="E6" s="11"/>
      <c r="F6" s="11"/>
      <c r="G6" s="16">
        <f>SUM(C6:F6)</f>
        <v>1104.5729</v>
      </c>
      <c r="H6" s="12" t="s">
        <v>20</v>
      </c>
      <c r="I6" s="27">
        <v>66000</v>
      </c>
      <c r="J6" s="27">
        <f>G6/I6*10000</f>
        <v>167.35953030303</v>
      </c>
      <c r="K6" s="33"/>
      <c r="L6" s="34"/>
    </row>
    <row r="7" s="51" customFormat="1" ht="15.75" spans="1:12">
      <c r="A7" s="12" t="s">
        <v>21</v>
      </c>
      <c r="B7" s="12" t="s">
        <v>22</v>
      </c>
      <c r="C7" s="11">
        <f>ROUND(SUM(C8:C11),2)</f>
        <v>439.69</v>
      </c>
      <c r="D7" s="11">
        <f>ROUND(SUM(D8:D11),2)</f>
        <v>112.38</v>
      </c>
      <c r="E7" s="11">
        <f>ROUND(SUM(E8:E11),2)</f>
        <v>654</v>
      </c>
      <c r="F7" s="11">
        <f>ROUND(SUM(F8:F11),2)</f>
        <v>0</v>
      </c>
      <c r="G7" s="16">
        <f t="shared" ref="G7:G26" si="1">SUM(C7:F7)</f>
        <v>1206.07</v>
      </c>
      <c r="H7" s="12"/>
      <c r="I7" s="27"/>
      <c r="J7" s="27"/>
      <c r="K7" s="33"/>
      <c r="L7" s="34"/>
    </row>
    <row r="8" s="2" customFormat="1" ht="15.75" spans="1:12">
      <c r="A8" s="12">
        <v>1</v>
      </c>
      <c r="B8" s="12" t="s">
        <v>23</v>
      </c>
      <c r="C8" s="11">
        <v>85.8375</v>
      </c>
      <c r="D8" s="11"/>
      <c r="E8" s="11"/>
      <c r="F8" s="11"/>
      <c r="G8" s="16">
        <f t="shared" si="1"/>
        <v>85.8375</v>
      </c>
      <c r="H8" s="12" t="s">
        <v>24</v>
      </c>
      <c r="I8" s="27">
        <v>250000</v>
      </c>
      <c r="J8" s="27">
        <f t="shared" ref="J8:J23" si="2">G8/I8*10000</f>
        <v>3.4335</v>
      </c>
      <c r="K8" s="33"/>
      <c r="L8" s="34"/>
    </row>
    <row r="9" ht="15.75" spans="1:12">
      <c r="A9" s="12">
        <v>2</v>
      </c>
      <c r="B9" s="12" t="s">
        <v>25</v>
      </c>
      <c r="C9" s="11">
        <v>84.0743</v>
      </c>
      <c r="D9" s="11"/>
      <c r="E9" s="11"/>
      <c r="F9" s="11"/>
      <c r="G9" s="16">
        <f t="shared" si="1"/>
        <v>84.0743</v>
      </c>
      <c r="H9" s="12" t="s">
        <v>26</v>
      </c>
      <c r="I9" s="27">
        <f>70175+57000</f>
        <v>127175</v>
      </c>
      <c r="J9" s="27">
        <f t="shared" si="2"/>
        <v>6.61091409475133</v>
      </c>
      <c r="K9" s="33"/>
      <c r="L9" s="34"/>
    </row>
    <row r="10" s="52" customFormat="1" ht="47.25" customHeight="1" spans="1:12">
      <c r="A10" s="18">
        <v>3</v>
      </c>
      <c r="B10" s="18" t="s">
        <v>27</v>
      </c>
      <c r="C10" s="20">
        <v>269.7806</v>
      </c>
      <c r="D10" s="20"/>
      <c r="E10" s="20"/>
      <c r="F10" s="20"/>
      <c r="G10" s="20">
        <f t="shared" si="1"/>
        <v>269.7806</v>
      </c>
      <c r="H10" s="18" t="s">
        <v>26</v>
      </c>
      <c r="I10" s="35">
        <f>4500+7000</f>
        <v>11500</v>
      </c>
      <c r="J10" s="35">
        <f t="shared" si="2"/>
        <v>234.591826086957</v>
      </c>
      <c r="K10" s="36"/>
      <c r="L10" s="64" t="s">
        <v>28</v>
      </c>
    </row>
    <row r="11" s="52" customFormat="1" ht="15.75" spans="1:12">
      <c r="A11" s="18">
        <v>4</v>
      </c>
      <c r="B11" s="19" t="s">
        <v>29</v>
      </c>
      <c r="C11" s="20"/>
      <c r="D11" s="20">
        <f>766.382684-E11</f>
        <v>112.382684</v>
      </c>
      <c r="E11" s="20">
        <v>654</v>
      </c>
      <c r="F11" s="20"/>
      <c r="G11" s="20">
        <f t="shared" si="1"/>
        <v>766.382684</v>
      </c>
      <c r="H11" s="18" t="s">
        <v>30</v>
      </c>
      <c r="I11" s="35">
        <v>22</v>
      </c>
      <c r="J11" s="35">
        <f t="shared" ref="J11" si="3">G11/I11*10000</f>
        <v>348355.765454546</v>
      </c>
      <c r="K11" s="36"/>
      <c r="L11" s="38"/>
    </row>
    <row r="12" s="53" customFormat="1" ht="15.75" spans="1:12">
      <c r="A12" s="18" t="s">
        <v>31</v>
      </c>
      <c r="B12" s="18" t="s">
        <v>32</v>
      </c>
      <c r="C12" s="20">
        <f>ROUND(SUM(C13:C15),2)</f>
        <v>477.89</v>
      </c>
      <c r="D12" s="20">
        <f t="shared" ref="D12:F12" si="4">ROUND(SUM(D13:D15),2)</f>
        <v>0</v>
      </c>
      <c r="E12" s="20">
        <f t="shared" si="4"/>
        <v>0</v>
      </c>
      <c r="F12" s="20">
        <f t="shared" si="4"/>
        <v>0</v>
      </c>
      <c r="G12" s="20">
        <f t="shared" si="1"/>
        <v>477.89</v>
      </c>
      <c r="H12" s="18"/>
      <c r="I12" s="35"/>
      <c r="J12" s="35"/>
      <c r="K12" s="36"/>
      <c r="L12" s="38"/>
    </row>
    <row r="13" s="52" customFormat="1" ht="27" spans="1:12">
      <c r="A13" s="18">
        <v>1</v>
      </c>
      <c r="B13" s="18" t="s">
        <v>33</v>
      </c>
      <c r="C13" s="20">
        <v>319.5492</v>
      </c>
      <c r="D13" s="20"/>
      <c r="E13" s="20"/>
      <c r="F13" s="20"/>
      <c r="G13" s="20">
        <f t="shared" si="1"/>
        <v>319.5492</v>
      </c>
      <c r="H13" s="18" t="s">
        <v>26</v>
      </c>
      <c r="I13" s="35">
        <f>520*6</f>
        <v>3120</v>
      </c>
      <c r="J13" s="35">
        <f t="shared" si="2"/>
        <v>1024.19615384615</v>
      </c>
      <c r="K13" s="36"/>
      <c r="L13" s="39" t="s">
        <v>34</v>
      </c>
    </row>
    <row r="14" s="52" customFormat="1" ht="15.75" spans="1:12">
      <c r="A14" s="18">
        <v>2</v>
      </c>
      <c r="B14" s="18" t="s">
        <v>35</v>
      </c>
      <c r="C14" s="20">
        <v>147.4782</v>
      </c>
      <c r="D14" s="20"/>
      <c r="E14" s="20"/>
      <c r="F14" s="20"/>
      <c r="G14" s="20">
        <f t="shared" si="1"/>
        <v>147.4782</v>
      </c>
      <c r="H14" s="18" t="s">
        <v>26</v>
      </c>
      <c r="I14" s="35">
        <f>8725</f>
        <v>8725</v>
      </c>
      <c r="J14" s="35">
        <f t="shared" si="2"/>
        <v>169.029455587393</v>
      </c>
      <c r="K14" s="36"/>
      <c r="L14" s="38"/>
    </row>
    <row r="15" s="2" customFormat="1" ht="15.75" spans="1:12">
      <c r="A15" s="12">
        <v>3</v>
      </c>
      <c r="B15" s="12" t="s">
        <v>36</v>
      </c>
      <c r="C15" s="11">
        <v>10.8629</v>
      </c>
      <c r="D15" s="11"/>
      <c r="E15" s="11"/>
      <c r="F15" s="11"/>
      <c r="G15" s="11">
        <f t="shared" si="1"/>
        <v>10.8629</v>
      </c>
      <c r="H15" s="12" t="s">
        <v>26</v>
      </c>
      <c r="I15" s="27">
        <v>3063</v>
      </c>
      <c r="J15" s="27">
        <f t="shared" si="2"/>
        <v>35.4649036891936</v>
      </c>
      <c r="K15" s="33"/>
      <c r="L15" s="34"/>
    </row>
    <row r="16" s="51" customFormat="1" ht="15.75" spans="1:12">
      <c r="A16" s="12" t="s">
        <v>37</v>
      </c>
      <c r="B16" s="12" t="s">
        <v>38</v>
      </c>
      <c r="C16" s="11">
        <f>ROUND(SUM(C17:C23),2)</f>
        <v>2218.71</v>
      </c>
      <c r="D16" s="11">
        <f>ROUND(SUM(D17:D23),2)</f>
        <v>0</v>
      </c>
      <c r="E16" s="11">
        <f>ROUND(SUM(E17:E23),2)</f>
        <v>0</v>
      </c>
      <c r="F16" s="11">
        <f>ROUND(SUM(F17:F23),2)</f>
        <v>0</v>
      </c>
      <c r="G16" s="16">
        <f t="shared" si="1"/>
        <v>2218.71</v>
      </c>
      <c r="H16" s="12"/>
      <c r="I16" s="27"/>
      <c r="J16" s="27"/>
      <c r="K16" s="33"/>
      <c r="L16" s="34"/>
    </row>
    <row r="17" ht="15.75" spans="1:12">
      <c r="A17" s="12">
        <v>1</v>
      </c>
      <c r="B17" s="12" t="s">
        <v>39</v>
      </c>
      <c r="C17" s="11">
        <v>1396.7728</v>
      </c>
      <c r="D17" s="11"/>
      <c r="E17" s="11"/>
      <c r="F17" s="11">
        <f>SUM(F18:F24)</f>
        <v>0</v>
      </c>
      <c r="G17" s="16">
        <f t="shared" si="1"/>
        <v>1396.7728</v>
      </c>
      <c r="H17" s="12" t="s">
        <v>26</v>
      </c>
      <c r="I17" s="27">
        <f>16124+9548+17473+19071+10393+7021+3033+25017</f>
        <v>107680</v>
      </c>
      <c r="J17" s="27">
        <f t="shared" si="2"/>
        <v>129.715156017831</v>
      </c>
      <c r="K17" s="33"/>
      <c r="L17" s="34"/>
    </row>
    <row r="18" ht="15.75" spans="1:12">
      <c r="A18" s="12">
        <v>2</v>
      </c>
      <c r="B18" s="58" t="s">
        <v>40</v>
      </c>
      <c r="C18" s="11">
        <v>184.2334</v>
      </c>
      <c r="D18" s="11"/>
      <c r="E18" s="11"/>
      <c r="F18" s="11"/>
      <c r="G18" s="16">
        <f t="shared" si="1"/>
        <v>184.2334</v>
      </c>
      <c r="H18" s="12" t="s">
        <v>26</v>
      </c>
      <c r="I18" s="27">
        <f>16124+9548+17473+19071+10393+7021+3033+25017</f>
        <v>107680</v>
      </c>
      <c r="J18" s="27">
        <f t="shared" si="2"/>
        <v>17.1093424962853</v>
      </c>
      <c r="K18" s="33"/>
      <c r="L18" s="40"/>
    </row>
    <row r="19" ht="15.75" spans="1:12">
      <c r="A19" s="12">
        <v>3</v>
      </c>
      <c r="B19" s="58" t="s">
        <v>41</v>
      </c>
      <c r="C19" s="59">
        <v>265.8596</v>
      </c>
      <c r="D19" s="11"/>
      <c r="E19" s="11"/>
      <c r="F19" s="11"/>
      <c r="G19" s="16">
        <f t="shared" si="1"/>
        <v>265.8596</v>
      </c>
      <c r="H19" s="12" t="s">
        <v>26</v>
      </c>
      <c r="I19" s="65">
        <f>256+488</f>
        <v>744</v>
      </c>
      <c r="J19" s="27">
        <f t="shared" si="2"/>
        <v>3573.38172043011</v>
      </c>
      <c r="K19" s="33"/>
      <c r="L19" s="66" t="s">
        <v>42</v>
      </c>
    </row>
    <row r="20" ht="15.75" spans="1:12">
      <c r="A20" s="12">
        <v>4</v>
      </c>
      <c r="B20" s="21" t="s">
        <v>43</v>
      </c>
      <c r="C20" s="11">
        <v>166.9957</v>
      </c>
      <c r="D20" s="11"/>
      <c r="E20" s="11"/>
      <c r="F20" s="11"/>
      <c r="G20" s="16">
        <f t="shared" si="1"/>
        <v>166.9957</v>
      </c>
      <c r="H20" s="12" t="s">
        <v>26</v>
      </c>
      <c r="I20" s="65">
        <f>4*1616</f>
        <v>6464</v>
      </c>
      <c r="J20" s="27">
        <f t="shared" si="2"/>
        <v>258.347308168317</v>
      </c>
      <c r="K20" s="33"/>
      <c r="L20" s="40"/>
    </row>
    <row r="21" ht="15.75" spans="1:12">
      <c r="A21" s="12">
        <v>5</v>
      </c>
      <c r="B21" s="21" t="s">
        <v>44</v>
      </c>
      <c r="C21" s="11">
        <v>3.4335</v>
      </c>
      <c r="D21" s="11"/>
      <c r="E21" s="11"/>
      <c r="F21" s="11"/>
      <c r="G21" s="16">
        <f t="shared" si="1"/>
        <v>3.4335</v>
      </c>
      <c r="H21" s="60" t="s">
        <v>45</v>
      </c>
      <c r="I21" s="65">
        <v>20</v>
      </c>
      <c r="J21" s="27">
        <f t="shared" si="2"/>
        <v>1716.75</v>
      </c>
      <c r="K21" s="33"/>
      <c r="L21" s="40"/>
    </row>
    <row r="22" ht="15.75" spans="1:12">
      <c r="A22" s="12">
        <v>6</v>
      </c>
      <c r="B22" s="21" t="s">
        <v>46</v>
      </c>
      <c r="C22" s="11">
        <v>181.1858</v>
      </c>
      <c r="D22" s="11"/>
      <c r="E22" s="11"/>
      <c r="F22" s="11"/>
      <c r="G22" s="16">
        <f t="shared" si="1"/>
        <v>181.1858</v>
      </c>
      <c r="H22" s="60" t="s">
        <v>47</v>
      </c>
      <c r="I22" s="65">
        <v>5277</v>
      </c>
      <c r="J22" s="27">
        <f t="shared" si="2"/>
        <v>343.350009475081</v>
      </c>
      <c r="K22" s="33"/>
      <c r="L22" s="40"/>
    </row>
    <row r="23" ht="15.75" spans="1:12">
      <c r="A23" s="12">
        <v>7</v>
      </c>
      <c r="B23" s="21" t="s">
        <v>48</v>
      </c>
      <c r="C23" s="11">
        <v>20.2256</v>
      </c>
      <c r="D23" s="11"/>
      <c r="E23" s="11"/>
      <c r="F23" s="11"/>
      <c r="G23" s="16">
        <f t="shared" si="1"/>
        <v>20.2256</v>
      </c>
      <c r="H23" s="12" t="s">
        <v>26</v>
      </c>
      <c r="I23" s="65">
        <f>2*9.5+2*7.85+2*25.85+2*(24.2+36.35+11.1+30.1)+2*(27.2+16.8+32.6)</f>
        <v>443.1</v>
      </c>
      <c r="J23" s="27">
        <f t="shared" si="2"/>
        <v>456.456781764839</v>
      </c>
      <c r="K23" s="33"/>
      <c r="L23" s="40"/>
    </row>
    <row r="24" s="51" customFormat="1" ht="15.75" spans="1:12">
      <c r="A24" s="12" t="s">
        <v>49</v>
      </c>
      <c r="B24" s="58" t="s">
        <v>50</v>
      </c>
      <c r="C24" s="11"/>
      <c r="D24" s="61">
        <v>175.1084</v>
      </c>
      <c r="E24" s="61">
        <v>5.3</v>
      </c>
      <c r="F24" s="11"/>
      <c r="G24" s="16">
        <f t="shared" si="1"/>
        <v>180.4084</v>
      </c>
      <c r="H24" s="58"/>
      <c r="I24" s="67"/>
      <c r="J24" s="27"/>
      <c r="K24" s="33"/>
      <c r="L24" s="40"/>
    </row>
    <row r="25" s="51" customFormat="1" ht="15.75" spans="1:15">
      <c r="A25" s="12" t="s">
        <v>51</v>
      </c>
      <c r="B25" s="12" t="s">
        <v>52</v>
      </c>
      <c r="C25" s="11"/>
      <c r="D25" s="11"/>
      <c r="E25" s="11"/>
      <c r="F25" s="11">
        <f>ROUND(SUM(F26:F44),2)</f>
        <v>658.59</v>
      </c>
      <c r="G25" s="16">
        <f t="shared" si="1"/>
        <v>658.59</v>
      </c>
      <c r="H25" s="12"/>
      <c r="I25" s="27"/>
      <c r="J25" s="27"/>
      <c r="K25" s="33">
        <f>G25/G46</f>
        <v>0.107287579584776</v>
      </c>
      <c r="L25" s="34"/>
      <c r="N25" s="51" t="s">
        <v>53</v>
      </c>
      <c r="O25" s="51">
        <v>6809.72</v>
      </c>
    </row>
    <row r="26" ht="15.75" spans="1:17">
      <c r="A26" s="12">
        <v>1</v>
      </c>
      <c r="B26" s="12" t="s">
        <v>54</v>
      </c>
      <c r="C26" s="11"/>
      <c r="D26" s="11"/>
      <c r="E26" s="11"/>
      <c r="F26" s="59">
        <f>80+(6141-5000-92)*1.2%</f>
        <v>92.588</v>
      </c>
      <c r="G26" s="16">
        <f t="shared" si="1"/>
        <v>92.588</v>
      </c>
      <c r="H26" s="12"/>
      <c r="I26" s="27"/>
      <c r="J26" s="27"/>
      <c r="K26" s="33"/>
      <c r="L26" s="34" t="s">
        <v>55</v>
      </c>
      <c r="N26" s="68"/>
      <c r="Q26" s="34" t="s">
        <v>55</v>
      </c>
    </row>
    <row r="27" ht="15.75" spans="1:17">
      <c r="A27" s="12">
        <v>2</v>
      </c>
      <c r="B27" s="12" t="s">
        <v>56</v>
      </c>
      <c r="C27" s="11"/>
      <c r="D27" s="11"/>
      <c r="E27" s="11"/>
      <c r="F27" s="59">
        <f>G4*J27</f>
        <v>72.6270776</v>
      </c>
      <c r="G27" s="16">
        <f t="shared" ref="G27:G45" si="5">SUM(C27:F27)</f>
        <v>72.6270776</v>
      </c>
      <c r="H27" s="12"/>
      <c r="I27" s="46"/>
      <c r="J27" s="47">
        <v>0.014</v>
      </c>
      <c r="K27" s="33"/>
      <c r="L27" s="69" t="s">
        <v>57</v>
      </c>
      <c r="N27" s="70"/>
      <c r="Q27" s="34" t="s">
        <v>58</v>
      </c>
    </row>
    <row r="28" ht="15.75" spans="1:17">
      <c r="A28" s="12">
        <v>3</v>
      </c>
      <c r="B28" s="12" t="s">
        <v>59</v>
      </c>
      <c r="C28" s="11"/>
      <c r="D28" s="11"/>
      <c r="E28" s="11"/>
      <c r="F28" s="11">
        <f>G33*(15%+(6141-1000)*(18%-15%)/(10000-1000))</f>
        <v>13.8723433333333</v>
      </c>
      <c r="G28" s="16">
        <f t="shared" si="5"/>
        <v>13.8723433333333</v>
      </c>
      <c r="H28" s="12"/>
      <c r="I28" s="18"/>
      <c r="J28" s="47"/>
      <c r="K28" s="33"/>
      <c r="L28" s="38" t="s">
        <v>60</v>
      </c>
      <c r="N28" s="68"/>
      <c r="Q28" s="34" t="s">
        <v>60</v>
      </c>
    </row>
    <row r="29" ht="15.75" spans="1:17">
      <c r="A29" s="12">
        <v>4</v>
      </c>
      <c r="B29" s="12" t="s">
        <v>61</v>
      </c>
      <c r="C29" s="11"/>
      <c r="D29" s="11"/>
      <c r="E29" s="11"/>
      <c r="F29" s="59">
        <f>G4*J29</f>
        <v>12.969121</v>
      </c>
      <c r="G29" s="16">
        <f t="shared" si="5"/>
        <v>12.969121</v>
      </c>
      <c r="H29" s="12"/>
      <c r="I29" s="47"/>
      <c r="J29" s="47">
        <v>0.0025</v>
      </c>
      <c r="K29" s="33"/>
      <c r="L29" s="69" t="s">
        <v>57</v>
      </c>
      <c r="N29" s="68"/>
      <c r="Q29" s="34" t="s">
        <v>62</v>
      </c>
    </row>
    <row r="30" s="52" customFormat="1" ht="15.75" spans="1:17">
      <c r="A30" s="18">
        <v>5</v>
      </c>
      <c r="B30" s="19" t="s">
        <v>63</v>
      </c>
      <c r="C30" s="20"/>
      <c r="D30" s="20"/>
      <c r="E30" s="20"/>
      <c r="F30" s="20">
        <f>((100-0)*0.42%+(500-100)*0.4%+(1000-500)*0.38%+(5000-1000)*0.36%+(6141-5000)*0.34%)</f>
        <v>22.1994</v>
      </c>
      <c r="G30" s="20">
        <f t="shared" si="5"/>
        <v>22.1994</v>
      </c>
      <c r="H30" s="18"/>
      <c r="I30" s="18"/>
      <c r="J30" s="47"/>
      <c r="K30" s="36"/>
      <c r="L30" s="71" t="s">
        <v>64</v>
      </c>
      <c r="Q30" s="38" t="s">
        <v>62</v>
      </c>
    </row>
    <row r="31" s="52" customFormat="1" ht="15.75" spans="1:17">
      <c r="A31" s="18">
        <v>6</v>
      </c>
      <c r="B31" s="18" t="s">
        <v>65</v>
      </c>
      <c r="C31" s="20"/>
      <c r="D31" s="20"/>
      <c r="E31" s="20"/>
      <c r="F31" s="20">
        <f>((100-0)*0.2%+(500-100)*0.2%+(1000-500)*0.2%+(5000-1000)*0.2%+(6141-5000)*0.15%)</f>
        <v>11.7115</v>
      </c>
      <c r="G31" s="20">
        <f t="shared" si="5"/>
        <v>11.7115</v>
      </c>
      <c r="H31" s="18"/>
      <c r="I31" s="18"/>
      <c r="J31" s="47"/>
      <c r="K31" s="36"/>
      <c r="L31" s="38" t="s">
        <v>62</v>
      </c>
      <c r="Q31" s="38" t="s">
        <v>62</v>
      </c>
    </row>
    <row r="32" s="52" customFormat="1" ht="84" customHeight="1" spans="1:17">
      <c r="A32" s="18">
        <v>7</v>
      </c>
      <c r="B32" s="18" t="s">
        <v>66</v>
      </c>
      <c r="C32" s="20"/>
      <c r="D32" s="20"/>
      <c r="E32" s="20"/>
      <c r="F32" s="20">
        <f>G4*J32</f>
        <v>18.1567694</v>
      </c>
      <c r="G32" s="20">
        <f t="shared" si="5"/>
        <v>18.1567694</v>
      </c>
      <c r="H32" s="18"/>
      <c r="I32" s="47"/>
      <c r="J32" s="47">
        <v>0.0035</v>
      </c>
      <c r="K32" s="36"/>
      <c r="L32" s="37" t="s">
        <v>57</v>
      </c>
      <c r="Q32" s="64" t="s">
        <v>67</v>
      </c>
    </row>
    <row r="33" s="52" customFormat="1" ht="15.75" spans="1:17">
      <c r="A33" s="18">
        <v>8</v>
      </c>
      <c r="B33" s="62" t="s">
        <v>68</v>
      </c>
      <c r="C33" s="20"/>
      <c r="D33" s="20"/>
      <c r="E33" s="20"/>
      <c r="F33" s="20">
        <v>83</v>
      </c>
      <c r="G33" s="20">
        <f t="shared" si="5"/>
        <v>83</v>
      </c>
      <c r="H33" s="18"/>
      <c r="I33" s="47"/>
      <c r="J33" s="47"/>
      <c r="K33" s="36"/>
      <c r="L33" s="44" t="s">
        <v>69</v>
      </c>
      <c r="Q33" s="38"/>
    </row>
    <row r="34" s="52" customFormat="1" ht="15.75" spans="1:17">
      <c r="A34" s="18">
        <v>9</v>
      </c>
      <c r="B34" s="62" t="s">
        <v>70</v>
      </c>
      <c r="C34" s="20"/>
      <c r="D34" s="20"/>
      <c r="E34" s="20"/>
      <c r="F34" s="20">
        <f>G4*J34</f>
        <v>41.5011872</v>
      </c>
      <c r="G34" s="20">
        <f t="shared" si="5"/>
        <v>41.5011872</v>
      </c>
      <c r="H34" s="18"/>
      <c r="I34" s="72" t="s">
        <v>71</v>
      </c>
      <c r="J34" s="47">
        <v>0.008</v>
      </c>
      <c r="K34" s="36"/>
      <c r="L34" s="73" t="s">
        <v>72</v>
      </c>
      <c r="Q34" s="38" t="s">
        <v>73</v>
      </c>
    </row>
    <row r="35" s="52" customFormat="1" ht="15.75" spans="1:17">
      <c r="A35" s="18">
        <v>10</v>
      </c>
      <c r="B35" s="18" t="s">
        <v>74</v>
      </c>
      <c r="C35" s="20"/>
      <c r="D35" s="20"/>
      <c r="E35" s="20"/>
      <c r="F35" s="20">
        <v>23.12</v>
      </c>
      <c r="G35" s="20">
        <f t="shared" si="5"/>
        <v>23.12</v>
      </c>
      <c r="H35" s="18"/>
      <c r="I35" s="18"/>
      <c r="J35" s="47"/>
      <c r="K35" s="36"/>
      <c r="L35" s="38"/>
      <c r="N35" s="52" t="s">
        <v>75</v>
      </c>
      <c r="Q35" s="38"/>
    </row>
    <row r="36" s="52" customFormat="1" ht="15.75" spans="1:17">
      <c r="A36" s="18">
        <v>11</v>
      </c>
      <c r="B36" s="18" t="s">
        <v>76</v>
      </c>
      <c r="C36" s="20"/>
      <c r="D36" s="20"/>
      <c r="E36" s="20"/>
      <c r="F36" s="20">
        <f>G4*J36</f>
        <v>93.3776712</v>
      </c>
      <c r="G36" s="20">
        <f t="shared" si="5"/>
        <v>93.3776712</v>
      </c>
      <c r="H36" s="18"/>
      <c r="I36" s="18" t="s">
        <v>77</v>
      </c>
      <c r="J36" s="47">
        <v>0.018</v>
      </c>
      <c r="K36" s="36"/>
      <c r="L36" s="38" t="s">
        <v>78</v>
      </c>
      <c r="Q36" s="38" t="s">
        <v>78</v>
      </c>
    </row>
    <row r="37" s="52" customFormat="1" ht="15.75" spans="1:17">
      <c r="A37" s="18">
        <v>12</v>
      </c>
      <c r="B37" s="18" t="s">
        <v>79</v>
      </c>
      <c r="C37" s="20"/>
      <c r="D37" s="20"/>
      <c r="E37" s="20"/>
      <c r="F37" s="20">
        <v>10</v>
      </c>
      <c r="G37" s="20">
        <f t="shared" si="5"/>
        <v>10</v>
      </c>
      <c r="H37" s="18"/>
      <c r="I37" s="35"/>
      <c r="J37" s="35"/>
      <c r="K37" s="36"/>
      <c r="L37" s="38" t="s">
        <v>80</v>
      </c>
      <c r="Q37" s="38" t="s">
        <v>80</v>
      </c>
    </row>
    <row r="38" s="52" customFormat="1" ht="15.75" spans="1:17">
      <c r="A38" s="18">
        <v>13</v>
      </c>
      <c r="B38" s="18" t="s">
        <v>81</v>
      </c>
      <c r="C38" s="20"/>
      <c r="D38" s="20"/>
      <c r="E38" s="20"/>
      <c r="F38" s="20">
        <f>200*0.028</f>
        <v>5.6</v>
      </c>
      <c r="G38" s="20">
        <f t="shared" si="5"/>
        <v>5.6</v>
      </c>
      <c r="H38" s="18"/>
      <c r="I38" s="35"/>
      <c r="J38" s="35"/>
      <c r="K38" s="36"/>
      <c r="L38" s="38" t="s">
        <v>82</v>
      </c>
      <c r="Q38" s="38" t="s">
        <v>82</v>
      </c>
    </row>
    <row r="39" s="52" customFormat="1" ht="42" spans="1:17">
      <c r="A39" s="18">
        <v>14</v>
      </c>
      <c r="B39" s="18" t="s">
        <v>83</v>
      </c>
      <c r="C39" s="20"/>
      <c r="D39" s="20"/>
      <c r="E39" s="20"/>
      <c r="F39" s="20">
        <f>(6+(15-6)/(20000-3000)*(6809.72-3000))*1*0.8+(1.5+(3-1.5)/(20000-3000)*(6327-3000))*1*0.8</f>
        <v>7.84837552941177</v>
      </c>
      <c r="G39" s="20">
        <f t="shared" si="5"/>
        <v>7.84837552941177</v>
      </c>
      <c r="H39" s="18"/>
      <c r="I39" s="35"/>
      <c r="J39" s="35"/>
      <c r="K39" s="36"/>
      <c r="L39" s="64" t="s">
        <v>84</v>
      </c>
      <c r="Q39" s="64" t="s">
        <v>84</v>
      </c>
    </row>
    <row r="40" s="52" customFormat="1" ht="15.75" spans="1:17">
      <c r="A40" s="18">
        <v>15</v>
      </c>
      <c r="B40" s="18" t="s">
        <v>85</v>
      </c>
      <c r="C40" s="20"/>
      <c r="D40" s="20"/>
      <c r="E40" s="20"/>
      <c r="F40" s="20">
        <v>24.28</v>
      </c>
      <c r="G40" s="20">
        <f t="shared" si="5"/>
        <v>24.28</v>
      </c>
      <c r="H40" s="18"/>
      <c r="I40" s="35"/>
      <c r="J40" s="35"/>
      <c r="K40" s="36"/>
      <c r="L40" s="38"/>
      <c r="N40" s="52" t="s">
        <v>75</v>
      </c>
      <c r="Q40" s="38"/>
    </row>
    <row r="41" s="52" customFormat="1" ht="15.75" spans="1:17">
      <c r="A41" s="18">
        <v>16</v>
      </c>
      <c r="B41" s="18" t="s">
        <v>86</v>
      </c>
      <c r="C41" s="20"/>
      <c r="D41" s="20"/>
      <c r="E41" s="20"/>
      <c r="F41" s="20">
        <v>69.36</v>
      </c>
      <c r="G41" s="20">
        <f t="shared" si="5"/>
        <v>69.36</v>
      </c>
      <c r="H41" s="18"/>
      <c r="I41" s="35"/>
      <c r="J41" s="35"/>
      <c r="K41" s="36"/>
      <c r="L41" s="38"/>
      <c r="N41" s="52" t="s">
        <v>75</v>
      </c>
      <c r="Q41" s="38"/>
    </row>
    <row r="42" s="52" customFormat="1" ht="15.75" spans="1:17">
      <c r="A42" s="18">
        <v>17</v>
      </c>
      <c r="B42" s="18" t="s">
        <v>87</v>
      </c>
      <c r="C42" s="20"/>
      <c r="D42" s="20"/>
      <c r="E42" s="20"/>
      <c r="F42" s="20">
        <f>(0+(30-0)/(5000-0)*(C4-0))</f>
        <v>25.44516</v>
      </c>
      <c r="G42" s="20">
        <f t="shared" si="5"/>
        <v>25.44516</v>
      </c>
      <c r="H42" s="18"/>
      <c r="I42" s="35"/>
      <c r="J42" s="35"/>
      <c r="K42" s="36"/>
      <c r="L42" s="38" t="s">
        <v>88</v>
      </c>
      <c r="Q42" s="38" t="s">
        <v>88</v>
      </c>
    </row>
    <row r="43" s="52" customFormat="1" ht="15.75" spans="1:17">
      <c r="A43" s="18">
        <v>18</v>
      </c>
      <c r="B43" s="19" t="s">
        <v>89</v>
      </c>
      <c r="C43" s="20"/>
      <c r="D43" s="20"/>
      <c r="E43" s="20"/>
      <c r="F43" s="20">
        <v>5</v>
      </c>
      <c r="G43" s="20">
        <f>F43</f>
        <v>5</v>
      </c>
      <c r="H43" s="18"/>
      <c r="I43" s="35"/>
      <c r="J43" s="35"/>
      <c r="K43" s="36"/>
      <c r="L43" s="38"/>
      <c r="Q43" s="38"/>
    </row>
    <row r="44" s="52" customFormat="1" ht="15.75" spans="1:17">
      <c r="A44" s="18">
        <v>19</v>
      </c>
      <c r="B44" s="18" t="s">
        <v>90</v>
      </c>
      <c r="C44" s="20"/>
      <c r="D44" s="20"/>
      <c r="E44" s="20"/>
      <c r="F44" s="20">
        <f>G4*0.5%</f>
        <v>25.938242</v>
      </c>
      <c r="G44" s="20">
        <f t="shared" si="5"/>
        <v>25.938242</v>
      </c>
      <c r="H44" s="18"/>
      <c r="I44" s="35"/>
      <c r="J44" s="35"/>
      <c r="K44" s="36"/>
      <c r="L44" s="38"/>
      <c r="Q44" s="38"/>
    </row>
    <row r="45" s="53" customFormat="1" ht="15.75" spans="1:17">
      <c r="A45" s="18" t="s">
        <v>91</v>
      </c>
      <c r="B45" s="18" t="s">
        <v>92</v>
      </c>
      <c r="C45" s="20"/>
      <c r="D45" s="20"/>
      <c r="E45" s="20"/>
      <c r="F45" s="20">
        <f>ROUND((G4+G25)*5%,2)</f>
        <v>292.31</v>
      </c>
      <c r="G45" s="20">
        <f t="shared" si="5"/>
        <v>292.31</v>
      </c>
      <c r="H45" s="18"/>
      <c r="I45" s="35"/>
      <c r="J45" s="35"/>
      <c r="K45" s="36">
        <f>G45/G46</f>
        <v>0.0476187497356867</v>
      </c>
      <c r="L45" s="38" t="s">
        <v>93</v>
      </c>
      <c r="Q45" s="38" t="s">
        <v>93</v>
      </c>
    </row>
    <row r="46" ht="15.75" spans="1:17">
      <c r="A46" s="12" t="s">
        <v>94</v>
      </c>
      <c r="B46" s="12" t="s">
        <v>95</v>
      </c>
      <c r="C46" s="11"/>
      <c r="D46" s="11"/>
      <c r="E46" s="11"/>
      <c r="F46" s="11"/>
      <c r="G46" s="16">
        <f>G4+G25+G45</f>
        <v>6138.5484</v>
      </c>
      <c r="H46" s="12"/>
      <c r="I46" s="27"/>
      <c r="J46" s="49"/>
      <c r="K46" s="33"/>
      <c r="L46" s="34"/>
      <c r="Q46" s="34"/>
    </row>
  </sheetData>
  <mergeCells count="7">
    <mergeCell ref="A1:L1"/>
    <mergeCell ref="C2:G2"/>
    <mergeCell ref="H2:J2"/>
    <mergeCell ref="A2:A3"/>
    <mergeCell ref="B2:B3"/>
    <mergeCell ref="K2:K3"/>
    <mergeCell ref="L2:L3"/>
  </mergeCells>
  <printOptions horizontalCentered="1"/>
  <pageMargins left="0.708661417322835" right="0.708661417322835" top="0.748031496062992" bottom="0.748031496062992" header="0.31496062992126" footer="0.31496062992126"/>
  <pageSetup paperSize="9" scale="79" orientation="landscape"/>
  <headerFooter/>
  <rowBreaks count="1" manualBreakCount="1">
    <brk id="3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L21"/>
  <sheetViews>
    <sheetView topLeftCell="C1" workbookViewId="0">
      <selection activeCell="F21" sqref="F21"/>
    </sheetView>
  </sheetViews>
  <sheetFormatPr defaultColWidth="9" defaultRowHeight="13.5"/>
  <cols>
    <col min="4" max="4" width="38.8833333333333" customWidth="1"/>
    <col min="6" max="6" width="33.6333333333333" customWidth="1"/>
  </cols>
  <sheetData>
    <row r="4" spans="4:6">
      <c r="D4" t="s">
        <v>96</v>
      </c>
      <c r="E4" t="s">
        <v>97</v>
      </c>
      <c r="F4" t="s">
        <v>98</v>
      </c>
    </row>
    <row r="5" spans="4:6">
      <c r="D5" t="s">
        <v>96</v>
      </c>
      <c r="E5" t="s">
        <v>97</v>
      </c>
      <c r="F5" t="s">
        <v>98</v>
      </c>
    </row>
    <row r="6" spans="4:12">
      <c r="D6" t="s">
        <v>99</v>
      </c>
      <c r="E6" t="s">
        <v>100</v>
      </c>
      <c r="F6">
        <v>10921860.75</v>
      </c>
      <c r="I6">
        <v>10921860.75</v>
      </c>
      <c r="K6">
        <v>9721547.35</v>
      </c>
      <c r="L6">
        <v>840743.41</v>
      </c>
    </row>
    <row r="7" spans="4:12">
      <c r="D7" t="s">
        <v>101</v>
      </c>
      <c r="E7" t="s">
        <v>100</v>
      </c>
      <c r="F7">
        <v>858375</v>
      </c>
      <c r="I7">
        <v>858375</v>
      </c>
      <c r="K7">
        <v>858375</v>
      </c>
      <c r="L7">
        <v>2606276.8</v>
      </c>
    </row>
    <row r="8" spans="4:12">
      <c r="D8" t="s">
        <v>102</v>
      </c>
      <c r="E8" t="s">
        <v>100</v>
      </c>
      <c r="F8">
        <v>840743.41</v>
      </c>
      <c r="I8">
        <v>840743.41</v>
      </c>
      <c r="K8">
        <v>840743.41</v>
      </c>
      <c r="L8">
        <v>7258136.97</v>
      </c>
    </row>
    <row r="9" spans="4:12">
      <c r="D9" t="s">
        <v>103</v>
      </c>
      <c r="E9" t="s">
        <v>100</v>
      </c>
      <c r="F9">
        <v>2659747.59</v>
      </c>
      <c r="I9">
        <v>2659747.59</v>
      </c>
      <c r="K9">
        <v>2606276.8</v>
      </c>
      <c r="L9">
        <v>1356494.95</v>
      </c>
    </row>
    <row r="10" spans="4:12">
      <c r="D10" t="s">
        <v>104</v>
      </c>
      <c r="E10" t="s">
        <v>100</v>
      </c>
      <c r="F10">
        <v>7663826.84</v>
      </c>
      <c r="I10">
        <v>7258136.97</v>
      </c>
      <c r="K10">
        <v>2028449.34</v>
      </c>
      <c r="L10">
        <v>1848676.42</v>
      </c>
    </row>
    <row r="11" spans="4:12">
      <c r="D11" t="s">
        <v>105</v>
      </c>
      <c r="E11" t="s">
        <v>100</v>
      </c>
      <c r="F11">
        <v>5605160.74</v>
      </c>
      <c r="I11">
        <v>5605160.74</v>
      </c>
      <c r="K11">
        <v>1433038.24</v>
      </c>
      <c r="L11">
        <v>103957.06</v>
      </c>
    </row>
    <row r="12" spans="4:12">
      <c r="D12" t="s">
        <v>106</v>
      </c>
      <c r="E12" t="s">
        <v>100</v>
      </c>
      <c r="F12">
        <v>1249217.6</v>
      </c>
      <c r="I12">
        <v>1249217.6</v>
      </c>
      <c r="K12">
        <v>1851943.6</v>
      </c>
      <c r="L12">
        <v>13307167.48</v>
      </c>
    </row>
    <row r="13" spans="4:12">
      <c r="D13" t="s">
        <v>107</v>
      </c>
      <c r="E13" t="s">
        <v>100</v>
      </c>
      <c r="F13">
        <v>103957.06</v>
      </c>
      <c r="I13">
        <v>103957.06</v>
      </c>
      <c r="K13">
        <v>105511.65</v>
      </c>
      <c r="L13">
        <v>1917402.75</v>
      </c>
    </row>
    <row r="14" spans="4:12">
      <c r="D14" t="s">
        <v>108</v>
      </c>
      <c r="E14" t="s">
        <v>100</v>
      </c>
      <c r="F14">
        <v>13618853.6</v>
      </c>
      <c r="I14">
        <v>13307167.48</v>
      </c>
      <c r="K14">
        <v>15379201.35</v>
      </c>
      <c r="L14">
        <v>4436231.91</v>
      </c>
    </row>
    <row r="15" spans="4:12">
      <c r="D15" t="s">
        <v>109</v>
      </c>
      <c r="E15" t="s">
        <v>100</v>
      </c>
      <c r="F15">
        <v>1842192.68</v>
      </c>
      <c r="I15">
        <v>1842192.68</v>
      </c>
      <c r="K15">
        <v>2324524.49</v>
      </c>
      <c r="L15">
        <v>1669947.59</v>
      </c>
    </row>
    <row r="16" spans="4:12">
      <c r="D16" t="s">
        <v>110</v>
      </c>
      <c r="E16" t="s">
        <v>100</v>
      </c>
      <c r="F16">
        <v>2658979.69</v>
      </c>
      <c r="I16">
        <v>2658979.69</v>
      </c>
      <c r="K16">
        <v>1069816.83</v>
      </c>
      <c r="L16">
        <v>34335</v>
      </c>
    </row>
    <row r="17" spans="4:12">
      <c r="D17" t="s">
        <v>111</v>
      </c>
      <c r="F17">
        <v>1669947.59</v>
      </c>
      <c r="I17">
        <v>1669947.59</v>
      </c>
      <c r="K17">
        <v>2019314.58</v>
      </c>
      <c r="L17">
        <v>1811857.95</v>
      </c>
    </row>
    <row r="18" spans="4:12">
      <c r="D18" t="s">
        <v>112</v>
      </c>
      <c r="F18">
        <v>34335</v>
      </c>
      <c r="I18">
        <v>34335</v>
      </c>
      <c r="K18">
        <v>34335</v>
      </c>
      <c r="L18">
        <v>202255.8</v>
      </c>
    </row>
    <row r="19" spans="4:12">
      <c r="D19" t="s">
        <v>113</v>
      </c>
      <c r="F19">
        <v>1811857.95</v>
      </c>
      <c r="I19">
        <v>1811857.95</v>
      </c>
      <c r="K19">
        <v>1811857.95</v>
      </c>
      <c r="L19">
        <v>2718712.23</v>
      </c>
    </row>
    <row r="20" spans="4:11">
      <c r="D20" t="s">
        <v>114</v>
      </c>
      <c r="E20" t="s">
        <v>100</v>
      </c>
      <c r="F20">
        <v>202255.8</v>
      </c>
      <c r="I20">
        <v>202255.8</v>
      </c>
      <c r="K20">
        <v>206696.08</v>
      </c>
    </row>
    <row r="21" spans="4:11">
      <c r="D21" t="s">
        <v>115</v>
      </c>
      <c r="E21" t="s">
        <v>100</v>
      </c>
      <c r="F21">
        <v>1803994.43</v>
      </c>
      <c r="I21">
        <v>1803994.43</v>
      </c>
      <c r="K21">
        <v>2353558.77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showZeros="0" tabSelected="1" view="pageBreakPreview" zoomScaleNormal="100" topLeftCell="A21" workbookViewId="0">
      <selection activeCell="A1" sqref="A1:L1"/>
    </sheetView>
  </sheetViews>
  <sheetFormatPr defaultColWidth="9" defaultRowHeight="25" customHeight="1"/>
  <cols>
    <col min="1" max="1" width="7.63333333333333" style="2" customWidth="1"/>
    <col min="2" max="2" width="23" style="2" customWidth="1"/>
    <col min="3" max="3" width="12.25" style="5" customWidth="1"/>
    <col min="4" max="5" width="11.1333333333333" style="5" customWidth="1"/>
    <col min="6" max="6" width="11" style="5" customWidth="1"/>
    <col min="7" max="7" width="11.25" style="5" customWidth="1"/>
    <col min="8" max="8" width="6.5" style="2" customWidth="1"/>
    <col min="9" max="9" width="9.25" style="6" customWidth="1"/>
    <col min="10" max="10" width="10.25" style="6" customWidth="1"/>
    <col min="11" max="11" width="9.13333333333333" style="7" customWidth="1"/>
    <col min="12" max="12" width="22.5" style="2" customWidth="1"/>
    <col min="13" max="16" width="9" style="2"/>
    <col min="17" max="17" width="32.6333333333333" style="2" customWidth="1"/>
    <col min="18" max="16384" width="9" style="2"/>
  </cols>
  <sheetData>
    <row r="1" ht="36" customHeight="1" spans="1:12">
      <c r="A1" s="8" t="s">
        <v>116</v>
      </c>
      <c r="B1" s="8"/>
      <c r="C1" s="8"/>
      <c r="D1" s="8"/>
      <c r="E1" s="8"/>
      <c r="F1" s="8"/>
      <c r="G1" s="8"/>
      <c r="H1" s="8"/>
      <c r="I1" s="8"/>
      <c r="J1" s="8"/>
      <c r="K1" s="26"/>
      <c r="L1" s="8"/>
    </row>
    <row r="2" customHeight="1" spans="1:12">
      <c r="A2" s="9" t="s">
        <v>117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customHeight="1" spans="1:12">
      <c r="A3" s="10" t="s">
        <v>118</v>
      </c>
      <c r="B3" s="10" t="s">
        <v>119</v>
      </c>
      <c r="C3" s="11" t="s">
        <v>3</v>
      </c>
      <c r="D3" s="11"/>
      <c r="E3" s="11"/>
      <c r="F3" s="11"/>
      <c r="G3" s="11"/>
      <c r="H3" s="10" t="s">
        <v>120</v>
      </c>
      <c r="I3" s="12"/>
      <c r="J3" s="27"/>
      <c r="K3" s="28" t="s">
        <v>121</v>
      </c>
      <c r="L3" s="29" t="s">
        <v>122</v>
      </c>
    </row>
    <row r="4" customHeight="1" spans="1:12">
      <c r="A4" s="12"/>
      <c r="B4" s="12"/>
      <c r="C4" s="13" t="s">
        <v>123</v>
      </c>
      <c r="D4" s="13" t="s">
        <v>124</v>
      </c>
      <c r="E4" s="13" t="s">
        <v>125</v>
      </c>
      <c r="F4" s="14" t="s">
        <v>126</v>
      </c>
      <c r="G4" s="15" t="s">
        <v>127</v>
      </c>
      <c r="H4" s="10" t="s">
        <v>128</v>
      </c>
      <c r="I4" s="30" t="s">
        <v>129</v>
      </c>
      <c r="J4" s="30" t="s">
        <v>130</v>
      </c>
      <c r="K4" s="31"/>
      <c r="L4" s="32"/>
    </row>
    <row r="5" s="1" customFormat="1" ht="15" customHeight="1" spans="1:12">
      <c r="A5" s="10" t="s">
        <v>131</v>
      </c>
      <c r="B5" s="10" t="s">
        <v>132</v>
      </c>
      <c r="C5" s="11">
        <f>C6+C8+C13+C17+C25</f>
        <v>4505.03</v>
      </c>
      <c r="D5" s="11">
        <f>D6+D8+D13+D17+D25</f>
        <v>215.398438</v>
      </c>
      <c r="E5" s="11">
        <f>E6+E8+E13+E17+E25</f>
        <v>463.577</v>
      </c>
      <c r="F5" s="11">
        <f>F6+F8+F13+F17+F25</f>
        <v>0</v>
      </c>
      <c r="G5" s="11">
        <f>G6+G8+G13+G17+G25</f>
        <v>5184.005438</v>
      </c>
      <c r="H5" s="12"/>
      <c r="I5" s="27"/>
      <c r="J5" s="27"/>
      <c r="K5" s="33">
        <f>G5/G47</f>
        <v>0.844839187847045</v>
      </c>
      <c r="L5" s="34"/>
    </row>
    <row r="6" ht="15" customHeight="1" spans="1:12">
      <c r="A6" s="10" t="s">
        <v>133</v>
      </c>
      <c r="B6" s="10" t="s">
        <v>134</v>
      </c>
      <c r="C6" s="11">
        <f>ROUND(C7,2)</f>
        <v>1104.57</v>
      </c>
      <c r="D6" s="11">
        <f t="shared" ref="C6:F6" si="0">ROUND(D7,2)</f>
        <v>0</v>
      </c>
      <c r="E6" s="11">
        <f t="shared" si="0"/>
        <v>0</v>
      </c>
      <c r="F6" s="11">
        <f t="shared" si="0"/>
        <v>0</v>
      </c>
      <c r="G6" s="11">
        <f t="shared" ref="G6:G43" si="1">SUM(C6:F6)</f>
        <v>1104.57</v>
      </c>
      <c r="H6" s="12"/>
      <c r="I6" s="27"/>
      <c r="J6" s="27"/>
      <c r="K6" s="33"/>
      <c r="L6" s="34"/>
    </row>
    <row r="7" ht="18" customHeight="1" spans="1:12">
      <c r="A7" s="12">
        <v>1</v>
      </c>
      <c r="B7" s="10" t="s">
        <v>135</v>
      </c>
      <c r="C7" s="11">
        <v>1104.5729</v>
      </c>
      <c r="D7" s="11"/>
      <c r="E7" s="11"/>
      <c r="F7" s="11"/>
      <c r="G7" s="16">
        <f t="shared" si="1"/>
        <v>1104.5729</v>
      </c>
      <c r="H7" s="12" t="s">
        <v>20</v>
      </c>
      <c r="I7" s="27">
        <v>66000</v>
      </c>
      <c r="J7" s="27">
        <f t="shared" ref="J7:J12" si="2">G7/I7*10000</f>
        <v>167.35953030303</v>
      </c>
      <c r="K7" s="33"/>
      <c r="L7" s="34"/>
    </row>
    <row r="8" s="1" customFormat="1" ht="17" customHeight="1" spans="1:12">
      <c r="A8" s="10" t="s">
        <v>136</v>
      </c>
      <c r="B8" s="17" t="s">
        <v>137</v>
      </c>
      <c r="C8" s="11">
        <f>ROUND(SUM(C9:C12),2)</f>
        <v>565.91</v>
      </c>
      <c r="D8" s="11">
        <f t="shared" ref="C8:F8" si="3">ROUND(SUM(D9:D12),2)</f>
        <v>40.77</v>
      </c>
      <c r="E8" s="11">
        <f t="shared" si="3"/>
        <v>457.8</v>
      </c>
      <c r="F8" s="11">
        <f t="shared" si="3"/>
        <v>0</v>
      </c>
      <c r="G8" s="16">
        <f t="shared" si="1"/>
        <v>1064.48</v>
      </c>
      <c r="H8" s="12"/>
      <c r="I8" s="27"/>
      <c r="J8" s="27"/>
      <c r="K8" s="33"/>
      <c r="L8" s="34"/>
    </row>
    <row r="9" s="2" customFormat="1" ht="19" customHeight="1" spans="1:12">
      <c r="A9" s="12">
        <v>1</v>
      </c>
      <c r="B9" s="10" t="s">
        <v>138</v>
      </c>
      <c r="C9" s="11">
        <v>85.8375</v>
      </c>
      <c r="D9" s="11"/>
      <c r="E9" s="11"/>
      <c r="F9" s="11"/>
      <c r="G9" s="16">
        <f t="shared" si="1"/>
        <v>85.8375</v>
      </c>
      <c r="H9" s="12" t="s">
        <v>24</v>
      </c>
      <c r="I9" s="27">
        <v>250000</v>
      </c>
      <c r="J9" s="27">
        <f t="shared" si="2"/>
        <v>3.4335</v>
      </c>
      <c r="K9" s="33"/>
      <c r="L9" s="34"/>
    </row>
    <row r="10" ht="18" customHeight="1" spans="1:12">
      <c r="A10" s="12">
        <v>2</v>
      </c>
      <c r="B10" s="10" t="s">
        <v>139</v>
      </c>
      <c r="C10" s="11">
        <f>123.078751</f>
        <v>123.078751</v>
      </c>
      <c r="D10" s="11"/>
      <c r="E10" s="11"/>
      <c r="F10" s="11"/>
      <c r="G10" s="16">
        <f t="shared" si="1"/>
        <v>123.078751</v>
      </c>
      <c r="H10" s="10" t="s">
        <v>26</v>
      </c>
      <c r="I10" s="27">
        <f>70175+57000</f>
        <v>127175</v>
      </c>
      <c r="J10" s="27">
        <f t="shared" si="2"/>
        <v>9.67790454098683</v>
      </c>
      <c r="K10" s="33"/>
      <c r="L10" s="34"/>
    </row>
    <row r="11" s="3" customFormat="1" ht="18" customHeight="1" spans="1:12">
      <c r="A11" s="18">
        <v>3</v>
      </c>
      <c r="B11" s="19" t="s">
        <v>140</v>
      </c>
      <c r="C11" s="20">
        <f>356.993</f>
        <v>356.993</v>
      </c>
      <c r="D11" s="20"/>
      <c r="E11" s="20"/>
      <c r="F11" s="20"/>
      <c r="G11" s="20">
        <f t="shared" si="1"/>
        <v>356.993</v>
      </c>
      <c r="H11" s="19" t="s">
        <v>26</v>
      </c>
      <c r="I11" s="35">
        <f>4500+7000</f>
        <v>11500</v>
      </c>
      <c r="J11" s="35">
        <f t="shared" si="2"/>
        <v>310.428695652174</v>
      </c>
      <c r="K11" s="36"/>
      <c r="L11" s="37" t="s">
        <v>141</v>
      </c>
    </row>
    <row r="12" s="3" customFormat="1" ht="17" customHeight="1" spans="1:12">
      <c r="A12" s="18">
        <v>4</v>
      </c>
      <c r="B12" s="19" t="s">
        <v>29</v>
      </c>
      <c r="C12" s="20"/>
      <c r="D12" s="20">
        <f>498.569684-457.8</f>
        <v>40.769684</v>
      </c>
      <c r="E12" s="20">
        <f>420*1.09</f>
        <v>457.8</v>
      </c>
      <c r="F12" s="20"/>
      <c r="G12" s="20">
        <f t="shared" si="1"/>
        <v>498.569684</v>
      </c>
      <c r="H12" s="19" t="s">
        <v>30</v>
      </c>
      <c r="I12" s="35">
        <v>22</v>
      </c>
      <c r="J12" s="35">
        <f t="shared" si="2"/>
        <v>226622.583636364</v>
      </c>
      <c r="K12" s="36"/>
      <c r="L12" s="38"/>
    </row>
    <row r="13" s="4" customFormat="1" ht="17" customHeight="1" spans="1:12">
      <c r="A13" s="19" t="s">
        <v>142</v>
      </c>
      <c r="B13" s="19" t="s">
        <v>143</v>
      </c>
      <c r="C13" s="20">
        <f>ROUND(SUM(C14:C16),2)</f>
        <v>477.89</v>
      </c>
      <c r="D13" s="20">
        <f t="shared" ref="C13:F13" si="4">ROUND(SUM(D14:D16),2)</f>
        <v>0</v>
      </c>
      <c r="E13" s="20">
        <f t="shared" si="4"/>
        <v>0</v>
      </c>
      <c r="F13" s="20">
        <f t="shared" si="4"/>
        <v>0</v>
      </c>
      <c r="G13" s="20">
        <f t="shared" si="1"/>
        <v>477.89</v>
      </c>
      <c r="H13" s="18"/>
      <c r="I13" s="35"/>
      <c r="J13" s="35"/>
      <c r="K13" s="36"/>
      <c r="L13" s="38"/>
    </row>
    <row r="14" s="3" customFormat="1" ht="17" customHeight="1" spans="1:12">
      <c r="A14" s="18">
        <v>1</v>
      </c>
      <c r="B14" s="19" t="s">
        <v>144</v>
      </c>
      <c r="C14" s="20">
        <v>319.5492</v>
      </c>
      <c r="D14" s="20"/>
      <c r="E14" s="20"/>
      <c r="F14" s="20"/>
      <c r="G14" s="20">
        <f t="shared" si="1"/>
        <v>319.5492</v>
      </c>
      <c r="H14" s="19" t="s">
        <v>26</v>
      </c>
      <c r="I14" s="35">
        <f>520*6</f>
        <v>3120</v>
      </c>
      <c r="J14" s="35">
        <f t="shared" ref="J14:J16" si="5">G14/I14*10000</f>
        <v>1024.19615384615</v>
      </c>
      <c r="K14" s="36"/>
      <c r="L14" s="39" t="s">
        <v>34</v>
      </c>
    </row>
    <row r="15" s="3" customFormat="1" ht="18" customHeight="1" spans="1:12">
      <c r="A15" s="18">
        <v>2</v>
      </c>
      <c r="B15" s="19" t="s">
        <v>145</v>
      </c>
      <c r="C15" s="20">
        <v>147.4782</v>
      </c>
      <c r="D15" s="20"/>
      <c r="E15" s="20"/>
      <c r="F15" s="20"/>
      <c r="G15" s="20">
        <f t="shared" si="1"/>
        <v>147.4782</v>
      </c>
      <c r="H15" s="19" t="s">
        <v>26</v>
      </c>
      <c r="I15" s="35">
        <f>8725</f>
        <v>8725</v>
      </c>
      <c r="J15" s="35">
        <f t="shared" si="5"/>
        <v>169.029455587393</v>
      </c>
      <c r="K15" s="36"/>
      <c r="L15" s="38"/>
    </row>
    <row r="16" s="2" customFormat="1" ht="20" customHeight="1" spans="1:12">
      <c r="A16" s="12">
        <v>3</v>
      </c>
      <c r="B16" s="10" t="s">
        <v>146</v>
      </c>
      <c r="C16" s="11">
        <v>10.8629</v>
      </c>
      <c r="D16" s="11"/>
      <c r="E16" s="11"/>
      <c r="F16" s="11"/>
      <c r="G16" s="11">
        <f t="shared" si="1"/>
        <v>10.8629</v>
      </c>
      <c r="H16" s="10" t="s">
        <v>26</v>
      </c>
      <c r="I16" s="27">
        <v>3063</v>
      </c>
      <c r="J16" s="27">
        <f t="shared" si="5"/>
        <v>35.4649036891936</v>
      </c>
      <c r="K16" s="33"/>
      <c r="L16" s="34"/>
    </row>
    <row r="17" s="1" customFormat="1" ht="21" customHeight="1" spans="1:12">
      <c r="A17" s="10" t="s">
        <v>147</v>
      </c>
      <c r="B17" s="10" t="s">
        <v>148</v>
      </c>
      <c r="C17" s="11">
        <f t="shared" ref="C17:F17" si="6">ROUND(SUM(C18:C24),2)</f>
        <v>2356.66</v>
      </c>
      <c r="D17" s="11">
        <f t="shared" si="6"/>
        <v>0</v>
      </c>
      <c r="E17" s="11">
        <f t="shared" si="6"/>
        <v>0</v>
      </c>
      <c r="F17" s="11">
        <f t="shared" si="6"/>
        <v>0</v>
      </c>
      <c r="G17" s="16">
        <f t="shared" si="1"/>
        <v>2356.66</v>
      </c>
      <c r="H17" s="12"/>
      <c r="I17" s="27"/>
      <c r="J17" s="27"/>
      <c r="K17" s="33"/>
      <c r="L17" s="34"/>
    </row>
    <row r="18" ht="20" customHeight="1" spans="1:12">
      <c r="A18" s="12">
        <v>1</v>
      </c>
      <c r="B18" s="10" t="s">
        <v>149</v>
      </c>
      <c r="C18" s="11">
        <v>1396.7728</v>
      </c>
      <c r="D18" s="11"/>
      <c r="E18" s="11"/>
      <c r="F18" s="11">
        <f>SUM(F19:F25)</f>
        <v>0</v>
      </c>
      <c r="G18" s="16">
        <f t="shared" si="1"/>
        <v>1396.7728</v>
      </c>
      <c r="H18" s="10" t="s">
        <v>26</v>
      </c>
      <c r="I18" s="27">
        <f>16124+9548+17473+19071+10393+7021+3033+25017</f>
        <v>107680</v>
      </c>
      <c r="J18" s="27">
        <f t="shared" ref="J18:J24" si="7">G18/I18*10000</f>
        <v>129.715156017831</v>
      </c>
      <c r="K18" s="33"/>
      <c r="L18" s="34"/>
    </row>
    <row r="19" ht="23" customHeight="1" spans="1:12">
      <c r="A19" s="12">
        <v>2</v>
      </c>
      <c r="B19" s="21" t="s">
        <v>150</v>
      </c>
      <c r="C19" s="11">
        <v>184.2334</v>
      </c>
      <c r="D19" s="11"/>
      <c r="E19" s="11"/>
      <c r="F19" s="11"/>
      <c r="G19" s="16">
        <f t="shared" si="1"/>
        <v>184.2334</v>
      </c>
      <c r="H19" s="10" t="s">
        <v>26</v>
      </c>
      <c r="I19" s="27">
        <f>16124+9548+17473+19071+10393+7021+3033+25017</f>
        <v>107680</v>
      </c>
      <c r="J19" s="27">
        <f t="shared" si="7"/>
        <v>17.1093424962853</v>
      </c>
      <c r="K19" s="33"/>
      <c r="L19" s="40"/>
    </row>
    <row r="20" ht="21" customHeight="1" spans="1:12">
      <c r="A20" s="12">
        <v>3</v>
      </c>
      <c r="B20" s="21" t="s">
        <v>151</v>
      </c>
      <c r="C20" s="20">
        <v>265.8596</v>
      </c>
      <c r="D20" s="20"/>
      <c r="E20" s="20"/>
      <c r="F20" s="20"/>
      <c r="G20" s="20">
        <f t="shared" si="1"/>
        <v>265.8596</v>
      </c>
      <c r="H20" s="19" t="s">
        <v>26</v>
      </c>
      <c r="I20" s="41">
        <f>256+488</f>
        <v>744</v>
      </c>
      <c r="J20" s="35">
        <f t="shared" si="7"/>
        <v>3573.38172043011</v>
      </c>
      <c r="K20" s="36"/>
      <c r="L20" s="39" t="s">
        <v>42</v>
      </c>
    </row>
    <row r="21" ht="21" customHeight="1" spans="1:12">
      <c r="A21" s="12">
        <v>4</v>
      </c>
      <c r="B21" s="21" t="s">
        <v>43</v>
      </c>
      <c r="C21" s="20">
        <f>304.953087</f>
        <v>304.953087</v>
      </c>
      <c r="D21" s="20"/>
      <c r="E21" s="20"/>
      <c r="F21" s="20"/>
      <c r="G21" s="20">
        <f t="shared" si="1"/>
        <v>304.953087</v>
      </c>
      <c r="H21" s="19" t="s">
        <v>26</v>
      </c>
      <c r="I21" s="41">
        <f>4*1616</f>
        <v>6464</v>
      </c>
      <c r="J21" s="35">
        <f t="shared" si="7"/>
        <v>471.771483601485</v>
      </c>
      <c r="K21" s="36"/>
      <c r="L21" s="42"/>
    </row>
    <row r="22" ht="19" customHeight="1" spans="1:12">
      <c r="A22" s="12">
        <v>5</v>
      </c>
      <c r="B22" s="21" t="s">
        <v>44</v>
      </c>
      <c r="C22" s="20">
        <v>3.4335</v>
      </c>
      <c r="D22" s="20"/>
      <c r="E22" s="20"/>
      <c r="F22" s="20"/>
      <c r="G22" s="20">
        <f t="shared" si="1"/>
        <v>3.4335</v>
      </c>
      <c r="H22" s="22" t="s">
        <v>30</v>
      </c>
      <c r="I22" s="41">
        <v>20</v>
      </c>
      <c r="J22" s="35">
        <f t="shared" si="7"/>
        <v>1716.75</v>
      </c>
      <c r="K22" s="36"/>
      <c r="L22" s="42"/>
    </row>
    <row r="23" ht="20" customHeight="1" spans="1:12">
      <c r="A23" s="12">
        <v>6</v>
      </c>
      <c r="B23" s="21" t="s">
        <v>46</v>
      </c>
      <c r="C23" s="20">
        <v>181.1858</v>
      </c>
      <c r="D23" s="20"/>
      <c r="E23" s="20"/>
      <c r="F23" s="20"/>
      <c r="G23" s="20">
        <f t="shared" si="1"/>
        <v>181.1858</v>
      </c>
      <c r="H23" s="23" t="s">
        <v>47</v>
      </c>
      <c r="I23" s="41">
        <v>5277</v>
      </c>
      <c r="J23" s="35">
        <f t="shared" si="7"/>
        <v>343.350009475081</v>
      </c>
      <c r="K23" s="36"/>
      <c r="L23" s="42"/>
    </row>
    <row r="24" ht="19" customHeight="1" spans="1:12">
      <c r="A24" s="12">
        <v>7</v>
      </c>
      <c r="B24" s="21" t="s">
        <v>48</v>
      </c>
      <c r="C24" s="20">
        <v>20.2256</v>
      </c>
      <c r="D24" s="20"/>
      <c r="E24" s="20"/>
      <c r="F24" s="20"/>
      <c r="G24" s="20">
        <f t="shared" si="1"/>
        <v>20.2256</v>
      </c>
      <c r="H24" s="19" t="s">
        <v>26</v>
      </c>
      <c r="I24" s="41">
        <f>2*9.5+2*7.85+2*25.85+2*(24.2+36.35+11.1+30.1)+2*(27.2+16.8+32.6)</f>
        <v>443.1</v>
      </c>
      <c r="J24" s="35">
        <f t="shared" si="7"/>
        <v>456.456781764839</v>
      </c>
      <c r="K24" s="36"/>
      <c r="L24" s="42"/>
    </row>
    <row r="25" s="1" customFormat="1" ht="19" customHeight="1" spans="1:12">
      <c r="A25" s="10" t="s">
        <v>152</v>
      </c>
      <c r="B25" s="21" t="s">
        <v>115</v>
      </c>
      <c r="C25" s="20"/>
      <c r="D25" s="20">
        <f>180.408438-5.78</f>
        <v>174.628438</v>
      </c>
      <c r="E25" s="20">
        <f>5.3*1.09</f>
        <v>5.777</v>
      </c>
      <c r="F25" s="20"/>
      <c r="G25" s="20">
        <f t="shared" si="1"/>
        <v>180.405438</v>
      </c>
      <c r="H25" s="24"/>
      <c r="I25" s="43"/>
      <c r="J25" s="35"/>
      <c r="K25" s="36"/>
      <c r="L25" s="42"/>
    </row>
    <row r="26" s="1" customFormat="1" ht="18" customHeight="1" spans="1:15">
      <c r="A26" s="10" t="s">
        <v>153</v>
      </c>
      <c r="B26" s="10" t="s">
        <v>154</v>
      </c>
      <c r="C26" s="20"/>
      <c r="D26" s="20"/>
      <c r="E26" s="20"/>
      <c r="F26" s="20">
        <f>ROUND(SUM(F27:F45),2)</f>
        <v>659.89</v>
      </c>
      <c r="G26" s="20">
        <f t="shared" si="1"/>
        <v>659.89</v>
      </c>
      <c r="H26" s="18"/>
      <c r="I26" s="35"/>
      <c r="J26" s="35"/>
      <c r="K26" s="36">
        <f>G26/G47</f>
        <v>0.107542505179831</v>
      </c>
      <c r="L26" s="38"/>
      <c r="N26" s="1" t="s">
        <v>53</v>
      </c>
      <c r="O26" s="1">
        <v>6809.72</v>
      </c>
    </row>
    <row r="27" ht="20" customHeight="1" spans="1:17">
      <c r="A27" s="12">
        <v>1</v>
      </c>
      <c r="B27" s="10" t="s">
        <v>155</v>
      </c>
      <c r="C27" s="20"/>
      <c r="D27" s="20"/>
      <c r="E27" s="20"/>
      <c r="F27" s="25">
        <f>80+(6135-5000-92)*1.2%</f>
        <v>92.516</v>
      </c>
      <c r="G27" s="20">
        <f t="shared" si="1"/>
        <v>92.516</v>
      </c>
      <c r="H27" s="18"/>
      <c r="I27" s="35"/>
      <c r="J27" s="35"/>
      <c r="K27" s="36"/>
      <c r="L27" s="44" t="s">
        <v>55</v>
      </c>
      <c r="N27" s="45"/>
      <c r="Q27" s="50" t="s">
        <v>55</v>
      </c>
    </row>
    <row r="28" ht="24" customHeight="1" spans="1:17">
      <c r="A28" s="12">
        <v>2</v>
      </c>
      <c r="B28" s="10" t="s">
        <v>156</v>
      </c>
      <c r="C28" s="20"/>
      <c r="D28" s="20"/>
      <c r="E28" s="20"/>
      <c r="F28" s="25">
        <f>G5*J28</f>
        <v>72.576076132</v>
      </c>
      <c r="G28" s="20">
        <f t="shared" si="1"/>
        <v>72.576076132</v>
      </c>
      <c r="H28" s="18"/>
      <c r="I28" s="46"/>
      <c r="J28" s="47">
        <v>0.014</v>
      </c>
      <c r="K28" s="36"/>
      <c r="L28" s="44" t="s">
        <v>57</v>
      </c>
      <c r="N28" s="48"/>
      <c r="Q28" s="50" t="s">
        <v>58</v>
      </c>
    </row>
    <row r="29" customHeight="1" spans="1:17">
      <c r="A29" s="12">
        <v>3</v>
      </c>
      <c r="B29" s="10" t="s">
        <v>157</v>
      </c>
      <c r="C29" s="20"/>
      <c r="D29" s="20"/>
      <c r="E29" s="20"/>
      <c r="F29" s="25">
        <f>G34*(15%+(6135-1000)*(18%-15%)/(10000-1000))</f>
        <v>13.8706833333333</v>
      </c>
      <c r="G29" s="20">
        <f t="shared" si="1"/>
        <v>13.8706833333333</v>
      </c>
      <c r="H29" s="18"/>
      <c r="I29" s="18"/>
      <c r="J29" s="47"/>
      <c r="K29" s="36"/>
      <c r="L29" s="44" t="s">
        <v>60</v>
      </c>
      <c r="N29" s="45"/>
      <c r="Q29" s="50" t="s">
        <v>60</v>
      </c>
    </row>
    <row r="30" customHeight="1" spans="1:17">
      <c r="A30" s="12">
        <v>4</v>
      </c>
      <c r="B30" s="10" t="s">
        <v>158</v>
      </c>
      <c r="C30" s="20"/>
      <c r="D30" s="20"/>
      <c r="E30" s="20"/>
      <c r="F30" s="25">
        <f>G5*J30</f>
        <v>12.960013595</v>
      </c>
      <c r="G30" s="20">
        <f t="shared" si="1"/>
        <v>12.960013595</v>
      </c>
      <c r="H30" s="18"/>
      <c r="I30" s="47"/>
      <c r="J30" s="47">
        <v>0.0025</v>
      </c>
      <c r="K30" s="36"/>
      <c r="L30" s="44" t="s">
        <v>57</v>
      </c>
      <c r="N30" s="45"/>
      <c r="Q30" s="50" t="s">
        <v>62</v>
      </c>
    </row>
    <row r="31" s="3" customFormat="1" customHeight="1" spans="1:17">
      <c r="A31" s="18">
        <v>5</v>
      </c>
      <c r="B31" s="19" t="s">
        <v>63</v>
      </c>
      <c r="C31" s="20"/>
      <c r="D31" s="20"/>
      <c r="E31" s="20"/>
      <c r="F31" s="25">
        <f>((100-0)*0.42%+(500-100)*0.4%+(1000-500)*0.38%+(5000-1000)*0.36%+(6135-5000)*0.34%)</f>
        <v>22.179</v>
      </c>
      <c r="G31" s="20">
        <f t="shared" si="1"/>
        <v>22.179</v>
      </c>
      <c r="H31" s="18"/>
      <c r="I31" s="18"/>
      <c r="J31" s="47"/>
      <c r="K31" s="36"/>
      <c r="L31" s="44" t="s">
        <v>62</v>
      </c>
      <c r="Q31" s="44" t="s">
        <v>62</v>
      </c>
    </row>
    <row r="32" s="3" customFormat="1" customHeight="1" spans="1:17">
      <c r="A32" s="18">
        <v>6</v>
      </c>
      <c r="B32" s="19" t="s">
        <v>159</v>
      </c>
      <c r="C32" s="20"/>
      <c r="D32" s="20"/>
      <c r="E32" s="20"/>
      <c r="F32" s="25">
        <f>((100-0)*0.2%+(500-100)*0.2%+(1000-500)*0.2%+(5000-1000)*0.2%+(6141-5000)*0.15%)</f>
        <v>11.7115</v>
      </c>
      <c r="G32" s="20">
        <f t="shared" si="1"/>
        <v>11.7115</v>
      </c>
      <c r="H32" s="18"/>
      <c r="I32" s="18"/>
      <c r="J32" s="47"/>
      <c r="K32" s="36"/>
      <c r="L32" s="44" t="s">
        <v>62</v>
      </c>
      <c r="Q32" s="44" t="s">
        <v>62</v>
      </c>
    </row>
    <row r="33" s="3" customFormat="1" customHeight="1" spans="1:17">
      <c r="A33" s="18">
        <v>7</v>
      </c>
      <c r="B33" s="19" t="s">
        <v>160</v>
      </c>
      <c r="C33" s="20"/>
      <c r="D33" s="20"/>
      <c r="E33" s="20"/>
      <c r="F33" s="25">
        <f>G5*J33</f>
        <v>18.144019033</v>
      </c>
      <c r="G33" s="20">
        <f t="shared" si="1"/>
        <v>18.144019033</v>
      </c>
      <c r="H33" s="18"/>
      <c r="I33" s="47"/>
      <c r="J33" s="47">
        <v>0.0035</v>
      </c>
      <c r="K33" s="36"/>
      <c r="L33" s="37" t="s">
        <v>57</v>
      </c>
      <c r="Q33" s="37" t="s">
        <v>67</v>
      </c>
    </row>
    <row r="34" s="3" customFormat="1" customHeight="1" spans="1:17">
      <c r="A34" s="18">
        <v>8</v>
      </c>
      <c r="B34" s="19" t="s">
        <v>161</v>
      </c>
      <c r="C34" s="20"/>
      <c r="D34" s="20"/>
      <c r="E34" s="20"/>
      <c r="F34" s="25">
        <v>83</v>
      </c>
      <c r="G34" s="20">
        <f t="shared" si="1"/>
        <v>83</v>
      </c>
      <c r="H34" s="18"/>
      <c r="I34" s="47"/>
      <c r="J34" s="47"/>
      <c r="K34" s="36"/>
      <c r="L34" s="44" t="s">
        <v>69</v>
      </c>
      <c r="Q34" s="38"/>
    </row>
    <row r="35" s="3" customFormat="1" customHeight="1" spans="1:17">
      <c r="A35" s="18">
        <v>9</v>
      </c>
      <c r="B35" s="19" t="s">
        <v>162</v>
      </c>
      <c r="C35" s="20"/>
      <c r="D35" s="20"/>
      <c r="E35" s="20"/>
      <c r="F35" s="25">
        <f>G5*J35</f>
        <v>41.472043504</v>
      </c>
      <c r="G35" s="20">
        <f t="shared" si="1"/>
        <v>41.472043504</v>
      </c>
      <c r="H35" s="18"/>
      <c r="I35" s="47" t="s">
        <v>71</v>
      </c>
      <c r="J35" s="47">
        <v>0.008</v>
      </c>
      <c r="K35" s="36"/>
      <c r="L35" s="44" t="s">
        <v>73</v>
      </c>
      <c r="Q35" s="44" t="s">
        <v>73</v>
      </c>
    </row>
    <row r="36" s="3" customFormat="1" customHeight="1" spans="1:17">
      <c r="A36" s="18">
        <v>10</v>
      </c>
      <c r="B36" s="19" t="s">
        <v>163</v>
      </c>
      <c r="C36" s="20"/>
      <c r="D36" s="20"/>
      <c r="E36" s="20"/>
      <c r="F36" s="25">
        <v>23.12</v>
      </c>
      <c r="G36" s="20">
        <f t="shared" si="1"/>
        <v>23.12</v>
      </c>
      <c r="H36" s="18"/>
      <c r="I36" s="18"/>
      <c r="J36" s="47"/>
      <c r="K36" s="36"/>
      <c r="L36" s="38"/>
      <c r="N36" s="3" t="s">
        <v>75</v>
      </c>
      <c r="Q36" s="38"/>
    </row>
    <row r="37" s="3" customFormat="1" customHeight="1" spans="1:17">
      <c r="A37" s="18">
        <v>11</v>
      </c>
      <c r="B37" s="19" t="s">
        <v>164</v>
      </c>
      <c r="C37" s="20"/>
      <c r="D37" s="20"/>
      <c r="E37" s="20"/>
      <c r="F37" s="25">
        <f>G5*J37</f>
        <v>93.312097884</v>
      </c>
      <c r="G37" s="20">
        <f t="shared" si="1"/>
        <v>93.312097884</v>
      </c>
      <c r="H37" s="18"/>
      <c r="I37" s="18" t="s">
        <v>77</v>
      </c>
      <c r="J37" s="47">
        <v>0.018</v>
      </c>
      <c r="K37" s="36"/>
      <c r="L37" s="44" t="s">
        <v>78</v>
      </c>
      <c r="Q37" s="44" t="s">
        <v>78</v>
      </c>
    </row>
    <row r="38" s="3" customFormat="1" customHeight="1" spans="1:17">
      <c r="A38" s="18">
        <v>12</v>
      </c>
      <c r="B38" s="19" t="s">
        <v>165</v>
      </c>
      <c r="C38" s="20"/>
      <c r="D38" s="20"/>
      <c r="E38" s="20"/>
      <c r="F38" s="25">
        <v>10</v>
      </c>
      <c r="G38" s="20">
        <f t="shared" si="1"/>
        <v>10</v>
      </c>
      <c r="H38" s="18"/>
      <c r="I38" s="35"/>
      <c r="J38" s="35"/>
      <c r="K38" s="36"/>
      <c r="L38" s="44" t="s">
        <v>166</v>
      </c>
      <c r="Q38" s="44" t="s">
        <v>166</v>
      </c>
    </row>
    <row r="39" s="3" customFormat="1" customHeight="1" spans="1:17">
      <c r="A39" s="18">
        <v>13</v>
      </c>
      <c r="B39" s="19" t="s">
        <v>167</v>
      </c>
      <c r="C39" s="20"/>
      <c r="D39" s="20"/>
      <c r="E39" s="20"/>
      <c r="F39" s="25">
        <f>200*0.028</f>
        <v>5.6</v>
      </c>
      <c r="G39" s="20">
        <f t="shared" si="1"/>
        <v>5.6</v>
      </c>
      <c r="H39" s="18"/>
      <c r="I39" s="35"/>
      <c r="J39" s="35"/>
      <c r="K39" s="36"/>
      <c r="L39" s="38" t="s">
        <v>82</v>
      </c>
      <c r="Q39" s="38" t="s">
        <v>82</v>
      </c>
    </row>
    <row r="40" s="3" customFormat="1" customHeight="1" spans="1:17">
      <c r="A40" s="18">
        <v>14</v>
      </c>
      <c r="B40" s="19" t="s">
        <v>168</v>
      </c>
      <c r="C40" s="20"/>
      <c r="D40" s="20"/>
      <c r="E40" s="20"/>
      <c r="F40" s="25">
        <f>(6+(15-6)/(20000-3000)*(6809.72-3000))*1*0.8+(1.5+(3-1.5)/(20000-3000)*(6135-3000))*1*0.8</f>
        <v>7.8348225882353</v>
      </c>
      <c r="G40" s="20">
        <f t="shared" si="1"/>
        <v>7.8348225882353</v>
      </c>
      <c r="H40" s="18"/>
      <c r="I40" s="35"/>
      <c r="J40" s="35"/>
      <c r="K40" s="36"/>
      <c r="L40" s="37" t="s">
        <v>84</v>
      </c>
      <c r="Q40" s="37" t="s">
        <v>84</v>
      </c>
    </row>
    <row r="41" s="3" customFormat="1" customHeight="1" spans="1:17">
      <c r="A41" s="18">
        <v>15</v>
      </c>
      <c r="B41" s="19" t="s">
        <v>169</v>
      </c>
      <c r="C41" s="20"/>
      <c r="D41" s="20"/>
      <c r="E41" s="20"/>
      <c r="F41" s="25">
        <v>24.28</v>
      </c>
      <c r="G41" s="20">
        <f t="shared" si="1"/>
        <v>24.28</v>
      </c>
      <c r="H41" s="18"/>
      <c r="I41" s="35"/>
      <c r="J41" s="35"/>
      <c r="K41" s="36"/>
      <c r="L41" s="38"/>
      <c r="N41" s="3" t="s">
        <v>75</v>
      </c>
      <c r="Q41" s="38"/>
    </row>
    <row r="42" s="3" customFormat="1" customHeight="1" spans="1:17">
      <c r="A42" s="18">
        <v>16</v>
      </c>
      <c r="B42" s="19" t="s">
        <v>170</v>
      </c>
      <c r="C42" s="20"/>
      <c r="D42" s="20"/>
      <c r="E42" s="20"/>
      <c r="F42" s="25">
        <v>69.36</v>
      </c>
      <c r="G42" s="20">
        <f t="shared" si="1"/>
        <v>69.36</v>
      </c>
      <c r="H42" s="18"/>
      <c r="I42" s="35"/>
      <c r="J42" s="35"/>
      <c r="K42" s="36"/>
      <c r="L42" s="38"/>
      <c r="N42" s="3" t="s">
        <v>75</v>
      </c>
      <c r="Q42" s="38"/>
    </row>
    <row r="43" s="3" customFormat="1" customHeight="1" spans="1:17">
      <c r="A43" s="18">
        <v>17</v>
      </c>
      <c r="B43" s="19" t="s">
        <v>171</v>
      </c>
      <c r="C43" s="20"/>
      <c r="D43" s="20"/>
      <c r="E43" s="20"/>
      <c r="F43" s="25">
        <f>(0+(30-0)/(5000-0)*(C5-0))</f>
        <v>27.03018</v>
      </c>
      <c r="G43" s="20">
        <f t="shared" si="1"/>
        <v>27.03018</v>
      </c>
      <c r="H43" s="18"/>
      <c r="I43" s="35"/>
      <c r="J43" s="35"/>
      <c r="K43" s="36"/>
      <c r="L43" s="44" t="s">
        <v>88</v>
      </c>
      <c r="Q43" s="44" t="s">
        <v>88</v>
      </c>
    </row>
    <row r="44" s="3" customFormat="1" customHeight="1" spans="1:17">
      <c r="A44" s="18">
        <v>18</v>
      </c>
      <c r="B44" s="19" t="s">
        <v>89</v>
      </c>
      <c r="C44" s="20"/>
      <c r="D44" s="20"/>
      <c r="E44" s="20"/>
      <c r="F44" s="25">
        <v>5</v>
      </c>
      <c r="G44" s="20">
        <f>F44</f>
        <v>5</v>
      </c>
      <c r="H44" s="18"/>
      <c r="I44" s="35"/>
      <c r="J44" s="35"/>
      <c r="K44" s="36"/>
      <c r="L44" s="38"/>
      <c r="Q44" s="38"/>
    </row>
    <row r="45" s="3" customFormat="1" customHeight="1" spans="1:17">
      <c r="A45" s="18">
        <v>19</v>
      </c>
      <c r="B45" s="19" t="s">
        <v>172</v>
      </c>
      <c r="C45" s="20"/>
      <c r="D45" s="20"/>
      <c r="E45" s="20"/>
      <c r="F45" s="25">
        <f>G5*0.5%</f>
        <v>25.92002719</v>
      </c>
      <c r="G45" s="20">
        <f>SUM(C45:F45)</f>
        <v>25.92002719</v>
      </c>
      <c r="H45" s="18"/>
      <c r="I45" s="35"/>
      <c r="J45" s="35"/>
      <c r="K45" s="36"/>
      <c r="L45" s="38"/>
      <c r="Q45" s="38"/>
    </row>
    <row r="46" s="4" customFormat="1" customHeight="1" spans="1:17">
      <c r="A46" s="19" t="s">
        <v>173</v>
      </c>
      <c r="B46" s="19" t="s">
        <v>174</v>
      </c>
      <c r="C46" s="20"/>
      <c r="D46" s="20"/>
      <c r="E46" s="20"/>
      <c r="F46" s="20">
        <f>ROUND((G5+G26)*5%,2)</f>
        <v>292.19</v>
      </c>
      <c r="G46" s="20">
        <f>SUM(C46:F46)</f>
        <v>292.19</v>
      </c>
      <c r="H46" s="18"/>
      <c r="I46" s="35"/>
      <c r="J46" s="35"/>
      <c r="K46" s="36">
        <f>G46/G47</f>
        <v>0.047618306973124</v>
      </c>
      <c r="L46" s="44" t="s">
        <v>93</v>
      </c>
      <c r="Q46" s="44" t="s">
        <v>93</v>
      </c>
    </row>
    <row r="47" customHeight="1" spans="1:17">
      <c r="A47" s="10" t="s">
        <v>175</v>
      </c>
      <c r="B47" s="10" t="s">
        <v>176</v>
      </c>
      <c r="C47" s="11"/>
      <c r="D47" s="11"/>
      <c r="E47" s="11"/>
      <c r="F47" s="11"/>
      <c r="G47" s="16">
        <f>G5+G26+G46</f>
        <v>6136.085438</v>
      </c>
      <c r="H47" s="12"/>
      <c r="I47" s="27"/>
      <c r="J47" s="49"/>
      <c r="K47" s="33"/>
      <c r="L47" s="34"/>
      <c r="Q47" s="34"/>
    </row>
  </sheetData>
  <mergeCells count="8">
    <mergeCell ref="A1:L1"/>
    <mergeCell ref="A2:L2"/>
    <mergeCell ref="C3:G3"/>
    <mergeCell ref="H3:J3"/>
    <mergeCell ref="A3:A4"/>
    <mergeCell ref="B3:B4"/>
    <mergeCell ref="K3:K4"/>
    <mergeCell ref="L3:L4"/>
  </mergeCells>
  <printOptions horizontalCentered="1"/>
  <pageMargins left="0.75" right="0.75" top="1" bottom="1" header="0.5" footer="0.5"/>
  <pageSetup paperSize="9" scale="76" orientation="landscape"/>
  <headerFooter/>
  <rowBreaks count="1" manualBreakCount="1">
    <brk id="2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金凤大厅牛杰</cp:lastModifiedBy>
  <dcterms:created xsi:type="dcterms:W3CDTF">2023-08-12T18:27:00Z</dcterms:created>
  <cp:lastPrinted>2023-09-07T15:53:00Z</cp:lastPrinted>
  <dcterms:modified xsi:type="dcterms:W3CDTF">2023-10-20T02:32:20Z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F380682D7C77475AAD1773655E921711_12</vt:lpwstr>
  </property>
  <property fmtid="{D5CDD505-2E9C-101B-9397-08002B2CF9AE}" pid="3" name="KSOProductBuildVer">
    <vt:lpwstr>2052-12.1.0.15712</vt:lpwstr>
  </property>
</Properties>
</file>